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oceanemerchiers/Dropbox (ARCTIK)/ARCTIK SERVER/1. PROJECTS/FwC DG Env. lot 1 ENV.B.1:FRA:2018:0002/3645 EU Ecolabel Helpdesk/2. EU Ecolabel Website/2. New website/Content/Text/V2/Product groups and criteria/User Manuals/Cleaning Up/Industrial and Institutional Automatic Dishwasher Detergents/"/>
    </mc:Choice>
  </mc:AlternateContent>
  <xr:revisionPtr revIDLastSave="0" documentId="8_{CBACD792-9EAE-3B4A-9CA1-ABE5B35B9CBB}" xr6:coauthVersionLast="47" xr6:coauthVersionMax="47" xr10:uidLastSave="{00000000-0000-0000-0000-000000000000}"/>
  <bookViews>
    <workbookView xWindow="0" yWindow="500" windowWidth="19200" windowHeight="6940" tabRatio="884" xr2:uid="{00000000-000D-0000-FFFF-FFFF00000000}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a-medium soiling" sheetId="1" r:id="rId5"/>
    <sheet name="Results-1b-light soiling (LD)" sheetId="37" r:id="rId6"/>
    <sheet name="Results-1c-heavy soiling (LD)" sheetId="39" r:id="rId7"/>
    <sheet name="Results-1 multicomponent system" sheetId="41" r:id="rId8"/>
    <sheet name="Results-2" sheetId="21" r:id="rId9"/>
    <sheet name="Packaging sizes 1-4" sheetId="28" r:id="rId10"/>
    <sheet name="Packaging sizes 5-8" sheetId="42" r:id="rId11"/>
    <sheet name="DID List" sheetId="6" r:id="rId12"/>
    <sheet name="Document" sheetId="25" r:id="rId13"/>
    <sheet name="Historie" sheetId="26" r:id="rId14"/>
    <sheet name="Languages" sheetId="15" r:id="rId15"/>
    <sheet name="Auswahldaten" sheetId="4" r:id="rId16"/>
  </sheets>
  <externalReferences>
    <externalReference r:id="rId17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Product!$B$11:$B$32</definedName>
    <definedName name="_xlnm._FilterDatabase" localSheetId="4" hidden="1">'Results-1a-medium soiling'!$B$10:$B$65</definedName>
    <definedName name="_xlnm._FilterDatabase" localSheetId="5" hidden="1">'Results-1b-light soiling (LD)'!$B$10:$B$65</definedName>
    <definedName name="_xlnm._FilterDatabase" localSheetId="6" hidden="1">'Results-1c-heavy soiling (LD)'!$B$10:$B$65</definedName>
    <definedName name="_xlnm._FilterDatabase" localSheetId="8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Auswahldaten!$A$176:$A$178</definedName>
    <definedName name="AW">Auswahldaten!$A$46:$A$49</definedName>
    <definedName name="BCF">Auswahldaten!$A$52:$A$54</definedName>
    <definedName name="Beschichtung">Auswahldaten!$A$88:$A$92</definedName>
    <definedName name="Beschluss">Auswahldaten!$A$109:$A$110</definedName>
    <definedName name="DID">'DID List'!$A$7:$A$246</definedName>
    <definedName name="Einheit">Auswahldaten!$A$170:$A$173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Mehrkomponenten">Auswahldaten!$A$152:$A$153</definedName>
    <definedName name="Nachweis">Auswahldaten!$A$57:$A$58</definedName>
    <definedName name="_xlnm.Print_Area" localSheetId="1">'Formulation Pre-Products'!$A$1:$H$67</definedName>
    <definedName name="_xlnm.Print_Area" localSheetId="13">Historie!$A$1:$N$14</definedName>
    <definedName name="_xlnm.Print_Area" localSheetId="2">'Ingoing Substances'!$A$1:$U$68</definedName>
    <definedName name="_xlnm.Print_Area" localSheetId="3">'Ingoing substances_DID'!$A$1:$R$69</definedName>
    <definedName name="_xlnm.Print_Area" localSheetId="9">'Packaging sizes 1-4'!$A$1:$V$53</definedName>
    <definedName name="_xlnm.Print_Area" localSheetId="10">'Packaging sizes 5-8'!$A$1:$V$53</definedName>
    <definedName name="_xlnm.Print_Area" localSheetId="0">Product!$A$1:$J$41</definedName>
    <definedName name="_xlnm.Print_Area" localSheetId="7">'Results-1 multicomponent system'!$A$1:$R$8</definedName>
    <definedName name="_xlnm.Print_Area" localSheetId="4">'Results-1a-medium soiling'!$A$1:$T$68</definedName>
    <definedName name="_xlnm.Print_Area" localSheetId="5">'Results-1b-light soiling (LD)'!$A$1:$T$68</definedName>
    <definedName name="_xlnm.Print_Area" localSheetId="6">'Results-1c-heavy soiling (LD)'!$A$1:$T$68</definedName>
    <definedName name="_xlnm.Print_Area" localSheetId="8">'Results-2'!$A$1:$G$63</definedName>
    <definedName name="Privat">Auswahldaten!$A$156:$A$158</definedName>
    <definedName name="Produkt">Auswahldaten!$A$131:$A$151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F244" i="6" l="1"/>
  <c r="I244" i="6" s="1"/>
  <c r="I243" i="6"/>
  <c r="F243" i="6"/>
  <c r="F242" i="6"/>
  <c r="I242" i="6" s="1"/>
  <c r="F241" i="6"/>
  <c r="I241" i="6" s="1"/>
  <c r="F240" i="6"/>
  <c r="I240" i="6" s="1"/>
  <c r="F239" i="6"/>
  <c r="I239" i="6" s="1"/>
  <c r="F238" i="6"/>
  <c r="I238" i="6" s="1"/>
  <c r="F237" i="6"/>
  <c r="F236" i="6"/>
  <c r="F235" i="6"/>
  <c r="F234" i="6"/>
  <c r="F233" i="6"/>
  <c r="I232" i="6"/>
  <c r="F232" i="6"/>
  <c r="I231" i="6"/>
  <c r="F231" i="6"/>
  <c r="I230" i="6"/>
  <c r="F230" i="6"/>
  <c r="F229" i="6"/>
  <c r="I229" i="6" s="1"/>
  <c r="F228" i="6"/>
  <c r="I228" i="6" s="1"/>
  <c r="I227" i="6"/>
  <c r="F227" i="6"/>
  <c r="F226" i="6"/>
  <c r="I226" i="6" s="1"/>
  <c r="F225" i="6"/>
  <c r="I225" i="6" s="1"/>
  <c r="I224" i="6"/>
  <c r="F224" i="6"/>
  <c r="I223" i="6"/>
  <c r="F223" i="6"/>
  <c r="I222" i="6"/>
  <c r="F222" i="6"/>
  <c r="I221" i="6"/>
  <c r="F221" i="6"/>
  <c r="I220" i="6"/>
  <c r="F220" i="6"/>
  <c r="F219" i="6"/>
  <c r="I219" i="6" s="1"/>
  <c r="I218" i="6"/>
  <c r="F218" i="6"/>
  <c r="I217" i="6"/>
  <c r="F217" i="6"/>
  <c r="F216" i="6"/>
  <c r="I216" i="6" s="1"/>
  <c r="I215" i="6"/>
  <c r="F215" i="6"/>
  <c r="F214" i="6"/>
  <c r="I214" i="6" s="1"/>
  <c r="I213" i="6"/>
  <c r="F213" i="6"/>
  <c r="F212" i="6"/>
  <c r="I212" i="6" s="1"/>
  <c r="F211" i="6"/>
  <c r="I211" i="6" s="1"/>
  <c r="F210" i="6"/>
  <c r="I210" i="6" s="1"/>
  <c r="F209" i="6"/>
  <c r="I209" i="6" s="1"/>
  <c r="I208" i="6"/>
  <c r="F208" i="6"/>
  <c r="I207" i="6"/>
  <c r="F207" i="6"/>
  <c r="F206" i="6"/>
  <c r="I206" i="6" s="1"/>
  <c r="F205" i="6"/>
  <c r="I205" i="6" s="1"/>
  <c r="F204" i="6"/>
  <c r="I204" i="6" s="1"/>
  <c r="I203" i="6"/>
  <c r="F203" i="6"/>
  <c r="F202" i="6"/>
  <c r="I202" i="6" s="1"/>
  <c r="F201" i="6"/>
  <c r="I201" i="6" s="1"/>
  <c r="F200" i="6"/>
  <c r="I200" i="6" s="1"/>
  <c r="I199" i="6"/>
  <c r="F199" i="6"/>
  <c r="I198" i="6"/>
  <c r="F198" i="6"/>
  <c r="F197" i="6"/>
  <c r="I197" i="6" s="1"/>
  <c r="F196" i="6"/>
  <c r="I196" i="6" s="1"/>
  <c r="I195" i="6"/>
  <c r="F195" i="6"/>
  <c r="F194" i="6"/>
  <c r="I194" i="6" s="1"/>
  <c r="F192" i="6"/>
  <c r="I192" i="6" s="1"/>
  <c r="F191" i="6"/>
  <c r="I191" i="6" s="1"/>
  <c r="F190" i="6"/>
  <c r="I190" i="6" s="1"/>
  <c r="F189" i="6"/>
  <c r="I189" i="6" s="1"/>
  <c r="F188" i="6"/>
  <c r="I188" i="6" s="1"/>
  <c r="F186" i="6"/>
  <c r="I186" i="6" s="1"/>
  <c r="F185" i="6"/>
  <c r="I185" i="6" s="1"/>
  <c r="F184" i="6"/>
  <c r="I184" i="6" s="1"/>
  <c r="F183" i="6"/>
  <c r="I183" i="6" s="1"/>
  <c r="I182" i="6"/>
  <c r="F182" i="6"/>
  <c r="I181" i="6"/>
  <c r="F181" i="6"/>
  <c r="I180" i="6"/>
  <c r="F180" i="6"/>
  <c r="F178" i="6"/>
  <c r="I177" i="6"/>
  <c r="F177" i="6"/>
  <c r="F176" i="6"/>
  <c r="I176" i="6" s="1"/>
  <c r="F175" i="6"/>
  <c r="I175" i="6" s="1"/>
  <c r="F174" i="6"/>
  <c r="I174" i="6" s="1"/>
  <c r="F173" i="6"/>
  <c r="I173" i="6" s="1"/>
  <c r="F172" i="6"/>
  <c r="I172" i="6" s="1"/>
  <c r="F171" i="6"/>
  <c r="I171" i="6" s="1"/>
  <c r="F170" i="6"/>
  <c r="I170" i="6" s="1"/>
  <c r="I169" i="6"/>
  <c r="F169" i="6"/>
  <c r="F168" i="6"/>
  <c r="I168" i="6" s="1"/>
  <c r="F167" i="6"/>
  <c r="I167" i="6" s="1"/>
  <c r="I166" i="6"/>
  <c r="F166" i="6"/>
  <c r="I164" i="6"/>
  <c r="F164" i="6"/>
  <c r="F163" i="6"/>
  <c r="I163" i="6" s="1"/>
  <c r="F162" i="6"/>
  <c r="I162" i="6" s="1"/>
  <c r="F161" i="6"/>
  <c r="I161" i="6" s="1"/>
  <c r="F159" i="6"/>
  <c r="I159" i="6" s="1"/>
  <c r="F156" i="6"/>
  <c r="I156" i="6" s="1"/>
  <c r="F155" i="6"/>
  <c r="I155" i="6" s="1"/>
  <c r="I154" i="6"/>
  <c r="F154" i="6"/>
  <c r="I153" i="6"/>
  <c r="F153" i="6"/>
  <c r="F152" i="6"/>
  <c r="I152" i="6" s="1"/>
  <c r="F151" i="6"/>
  <c r="I150" i="6"/>
  <c r="F150" i="6"/>
  <c r="I149" i="6"/>
  <c r="F149" i="6"/>
  <c r="F148" i="6"/>
  <c r="I148" i="6" s="1"/>
  <c r="I147" i="6"/>
  <c r="F147" i="6"/>
  <c r="F146" i="6"/>
  <c r="I146" i="6" s="1"/>
  <c r="F145" i="6"/>
  <c r="I145" i="6" s="1"/>
  <c r="F144" i="6"/>
  <c r="I144" i="6" s="1"/>
  <c r="I142" i="6"/>
  <c r="F142" i="6"/>
  <c r="F141" i="6"/>
  <c r="I141" i="6" s="1"/>
  <c r="I140" i="6"/>
  <c r="F140" i="6"/>
  <c r="I137" i="6"/>
  <c r="F137" i="6"/>
  <c r="I136" i="6"/>
  <c r="F136" i="6"/>
  <c r="I135" i="6"/>
  <c r="F135" i="6"/>
  <c r="I134" i="6"/>
  <c r="F134" i="6"/>
  <c r="I133" i="6"/>
  <c r="F133" i="6"/>
  <c r="I132" i="6"/>
  <c r="F132" i="6"/>
  <c r="I131" i="6"/>
  <c r="F131" i="6"/>
  <c r="I130" i="6"/>
  <c r="F130" i="6"/>
  <c r="I129" i="6"/>
  <c r="F129" i="6"/>
  <c r="I128" i="6"/>
  <c r="F128" i="6"/>
  <c r="F127" i="6"/>
  <c r="F126" i="6"/>
  <c r="I126" i="6" s="1"/>
  <c r="F124" i="6"/>
  <c r="I123" i="6"/>
  <c r="F123" i="6"/>
  <c r="F122" i="6"/>
  <c r="I122" i="6" s="1"/>
  <c r="I121" i="6"/>
  <c r="F121" i="6"/>
  <c r="I120" i="6"/>
  <c r="F120" i="6"/>
  <c r="F119" i="6"/>
  <c r="I119" i="6" s="1"/>
  <c r="I118" i="6"/>
  <c r="F118" i="6"/>
  <c r="I117" i="6"/>
  <c r="F117" i="6"/>
  <c r="F116" i="6"/>
  <c r="I116" i="6" s="1"/>
  <c r="F115" i="6"/>
  <c r="I115" i="6" s="1"/>
  <c r="I114" i="6"/>
  <c r="F114" i="6"/>
  <c r="I113" i="6"/>
  <c r="F113" i="6"/>
  <c r="I112" i="6"/>
  <c r="F112" i="6"/>
  <c r="F111" i="6"/>
  <c r="I111" i="6" s="1"/>
  <c r="F110" i="6"/>
  <c r="I110" i="6" s="1"/>
  <c r="I108" i="6"/>
  <c r="F108" i="6"/>
  <c r="F107" i="6"/>
  <c r="I107" i="6" s="1"/>
  <c r="I105" i="6"/>
  <c r="F105" i="6"/>
  <c r="I104" i="6"/>
  <c r="I103" i="6"/>
  <c r="F103" i="6"/>
  <c r="I102" i="6"/>
  <c r="F102" i="6"/>
  <c r="I101" i="6"/>
  <c r="F101" i="6"/>
  <c r="D100" i="6"/>
  <c r="F100" i="6" s="1"/>
  <c r="I100" i="6" s="1"/>
  <c r="I99" i="6"/>
  <c r="F99" i="6"/>
  <c r="I98" i="6"/>
  <c r="F98" i="6"/>
  <c r="F97" i="6"/>
  <c r="I97" i="6" s="1"/>
  <c r="F96" i="6"/>
  <c r="I96" i="6" s="1"/>
  <c r="I95" i="6"/>
  <c r="F95" i="6"/>
  <c r="I94" i="6"/>
  <c r="F94" i="6"/>
  <c r="I93" i="6"/>
  <c r="F92" i="6"/>
  <c r="I92" i="6" s="1"/>
  <c r="I91" i="6"/>
  <c r="F91" i="6"/>
  <c r="I90" i="6"/>
  <c r="F90" i="6"/>
  <c r="I89" i="6"/>
  <c r="F89" i="6"/>
  <c r="I88" i="6"/>
  <c r="F88" i="6" s="1"/>
  <c r="I87" i="6"/>
  <c r="F87" i="6"/>
  <c r="I86" i="6"/>
  <c r="F86" i="6"/>
  <c r="I85" i="6"/>
  <c r="F85" i="6"/>
  <c r="I84" i="6"/>
  <c r="F84" i="6"/>
  <c r="I83" i="6"/>
  <c r="F83" i="6"/>
  <c r="I82" i="6"/>
  <c r="F82" i="6"/>
  <c r="I81" i="6"/>
  <c r="F81" i="6"/>
  <c r="I80" i="6"/>
  <c r="F80" i="6"/>
  <c r="I79" i="6"/>
  <c r="F79" i="6" s="1"/>
  <c r="I78" i="6"/>
  <c r="F78" i="6"/>
  <c r="I77" i="6"/>
  <c r="F77" i="6"/>
  <c r="I76" i="6"/>
  <c r="F76" i="6"/>
  <c r="F75" i="6"/>
  <c r="F74" i="6"/>
  <c r="I73" i="6"/>
  <c r="F73" i="6"/>
  <c r="I72" i="6"/>
  <c r="F72" i="6"/>
  <c r="I71" i="6"/>
  <c r="F71" i="6"/>
  <c r="I70" i="6"/>
  <c r="F70" i="6"/>
  <c r="I69" i="6"/>
  <c r="F69" i="6"/>
  <c r="I68" i="6"/>
  <c r="F68" i="6"/>
  <c r="I67" i="6"/>
  <c r="F67" i="6"/>
  <c r="F66" i="6"/>
  <c r="I66" i="6" s="1"/>
  <c r="I65" i="6"/>
  <c r="F65" i="6"/>
  <c r="F64" i="6"/>
  <c r="I64" i="6" s="1"/>
  <c r="F63" i="6"/>
  <c r="I63" i="6" s="1"/>
  <c r="I62" i="6"/>
  <c r="D62" i="6"/>
  <c r="F62" i="6" s="1"/>
  <c r="F61" i="6"/>
  <c r="I61" i="6" s="1"/>
  <c r="I60" i="6"/>
  <c r="F60" i="6"/>
  <c r="F59" i="6"/>
  <c r="F58" i="6"/>
  <c r="I58" i="6" s="1"/>
  <c r="F57" i="6"/>
  <c r="I57" i="6" s="1"/>
  <c r="I56" i="6"/>
  <c r="F56" i="6"/>
  <c r="F55" i="6"/>
  <c r="I55" i="6" s="1"/>
  <c r="I54" i="6"/>
  <c r="F54" i="6"/>
  <c r="I53" i="6"/>
  <c r="F53" i="6" s="1"/>
  <c r="I52" i="6"/>
  <c r="F52" i="6"/>
  <c r="I51" i="6"/>
  <c r="F51" i="6"/>
  <c r="I50" i="6"/>
  <c r="F50" i="6"/>
  <c r="F49" i="6"/>
  <c r="F48" i="6"/>
  <c r="I48" i="6" s="1"/>
  <c r="I47" i="6"/>
  <c r="F47" i="6"/>
  <c r="I46" i="6"/>
  <c r="F46" i="6"/>
  <c r="I45" i="6"/>
  <c r="F45" i="6"/>
  <c r="I44" i="6"/>
  <c r="F44" i="6"/>
  <c r="I43" i="6"/>
  <c r="F43" i="6"/>
  <c r="I42" i="6"/>
  <c r="F42" i="6"/>
  <c r="F41" i="6"/>
  <c r="I40" i="6"/>
  <c r="F40" i="6"/>
  <c r="I39" i="6"/>
  <c r="F39" i="6"/>
  <c r="F38" i="6"/>
  <c r="I38" i="6" s="1"/>
  <c r="I37" i="6"/>
  <c r="F37" i="6"/>
  <c r="F36" i="6"/>
  <c r="I36" i="6" s="1"/>
  <c r="I35" i="6"/>
  <c r="F35" i="6"/>
  <c r="F34" i="6"/>
  <c r="I34" i="6" s="1"/>
  <c r="F33" i="6"/>
  <c r="I33" i="6" s="1"/>
  <c r="I32" i="6"/>
  <c r="F32" i="6"/>
  <c r="F31" i="6"/>
  <c r="I31" i="6" s="1"/>
  <c r="I30" i="6"/>
  <c r="F30" i="6"/>
  <c r="I29" i="6"/>
  <c r="F29" i="6"/>
  <c r="I28" i="6"/>
  <c r="F28" i="6"/>
  <c r="F27" i="6"/>
  <c r="I27" i="6" s="1"/>
  <c r="F26" i="6"/>
  <c r="I26" i="6" s="1"/>
  <c r="F24" i="6"/>
  <c r="I24" i="6" s="1"/>
  <c r="F23" i="6"/>
  <c r="I23" i="6" s="1"/>
  <c r="F22" i="6"/>
  <c r="I22" i="6" s="1"/>
  <c r="F21" i="6"/>
  <c r="I21" i="6" s="1"/>
  <c r="F20" i="6"/>
  <c r="I20" i="6" s="1"/>
  <c r="F19" i="6"/>
  <c r="I19" i="6" s="1"/>
  <c r="F18" i="6"/>
  <c r="I18" i="6" s="1"/>
  <c r="F17" i="6"/>
  <c r="I17" i="6" s="1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R18" i="8" l="1"/>
  <c r="S18" i="8"/>
  <c r="Q18" i="8"/>
  <c r="T18" i="8" l="1"/>
  <c r="G11" i="39"/>
  <c r="F11" i="39"/>
  <c r="G11" i="37"/>
  <c r="F11" i="37"/>
  <c r="G11" i="1"/>
  <c r="F11" i="1"/>
  <c r="D18" i="8" l="1"/>
  <c r="F18" i="8" s="1"/>
  <c r="I18" i="8" s="1"/>
  <c r="B45" i="41" l="1"/>
  <c r="B46" i="41"/>
  <c r="B47" i="41"/>
  <c r="B48" i="41"/>
  <c r="B49" i="41"/>
  <c r="B50" i="41"/>
  <c r="B51" i="41"/>
  <c r="B44" i="41"/>
  <c r="B28" i="41"/>
  <c r="B29" i="41"/>
  <c r="B30" i="41"/>
  <c r="B31" i="41"/>
  <c r="B32" i="41"/>
  <c r="B33" i="41"/>
  <c r="B34" i="41"/>
  <c r="B27" i="41"/>
  <c r="E40" i="2" l="1"/>
  <c r="D40" i="2"/>
  <c r="C40" i="2"/>
  <c r="E38" i="2"/>
  <c r="D38" i="2"/>
  <c r="C38" i="2"/>
  <c r="E36" i="2"/>
  <c r="D36" i="2"/>
  <c r="C36" i="2"/>
  <c r="J61" i="1" l="1"/>
  <c r="N32" i="42" l="1"/>
  <c r="N11" i="42"/>
  <c r="C32" i="42"/>
  <c r="C11" i="42"/>
  <c r="N44" i="42"/>
  <c r="C44" i="42"/>
  <c r="U40" i="42"/>
  <c r="T40" i="42"/>
  <c r="S40" i="42"/>
  <c r="J40" i="42"/>
  <c r="I40" i="42"/>
  <c r="H40" i="42"/>
  <c r="U39" i="42"/>
  <c r="T39" i="42"/>
  <c r="S39" i="42"/>
  <c r="J39" i="42"/>
  <c r="I39" i="42"/>
  <c r="H39" i="42"/>
  <c r="U38" i="42"/>
  <c r="T38" i="42"/>
  <c r="S38" i="42"/>
  <c r="J38" i="42"/>
  <c r="I38" i="42"/>
  <c r="H38" i="42"/>
  <c r="U32" i="42"/>
  <c r="P32" i="42"/>
  <c r="O32" i="42"/>
  <c r="J32" i="42"/>
  <c r="H32" i="42"/>
  <c r="D32" i="42"/>
  <c r="A30" i="42"/>
  <c r="L50" i="42" s="1"/>
  <c r="A29" i="42"/>
  <c r="A49" i="42" s="1"/>
  <c r="A28" i="42"/>
  <c r="L48" i="42" s="1"/>
  <c r="A27" i="42"/>
  <c r="A47" i="42" s="1"/>
  <c r="A26" i="42"/>
  <c r="L46" i="42" s="1"/>
  <c r="N23" i="42"/>
  <c r="D23" i="42"/>
  <c r="D44" i="42" s="1"/>
  <c r="O44" i="42" s="1"/>
  <c r="C23" i="42"/>
  <c r="A23" i="42"/>
  <c r="L44" i="42" s="1"/>
  <c r="D22" i="42"/>
  <c r="D43" i="42" s="1"/>
  <c r="O43" i="42" s="1"/>
  <c r="D21" i="42"/>
  <c r="D42" i="42" s="1"/>
  <c r="O42" i="42" s="1"/>
  <c r="C21" i="42"/>
  <c r="C42" i="42" s="1"/>
  <c r="N42" i="42" s="1"/>
  <c r="U19" i="42"/>
  <c r="T19" i="42"/>
  <c r="S19" i="42"/>
  <c r="J19" i="42"/>
  <c r="I19" i="42"/>
  <c r="H19" i="42"/>
  <c r="U18" i="42"/>
  <c r="T18" i="42"/>
  <c r="S18" i="42"/>
  <c r="J18" i="42"/>
  <c r="I18" i="42"/>
  <c r="H18" i="42"/>
  <c r="U17" i="42"/>
  <c r="T17" i="42"/>
  <c r="S17" i="42"/>
  <c r="J17" i="42"/>
  <c r="I17" i="42"/>
  <c r="H17" i="42"/>
  <c r="D15" i="42"/>
  <c r="O15" i="42" s="1"/>
  <c r="O36" i="42" s="1"/>
  <c r="C15" i="42"/>
  <c r="N15" i="42" s="1"/>
  <c r="N36" i="42" s="1"/>
  <c r="B15" i="42"/>
  <c r="B36" i="42" s="1"/>
  <c r="A15" i="42"/>
  <c r="A36" i="42" s="1"/>
  <c r="A13" i="42"/>
  <c r="L13" i="42" s="1"/>
  <c r="L34" i="42" s="1"/>
  <c r="A12" i="42"/>
  <c r="A33" i="42" s="1"/>
  <c r="U11" i="42"/>
  <c r="P11" i="42"/>
  <c r="O11" i="42"/>
  <c r="J11" i="42"/>
  <c r="H11" i="42"/>
  <c r="D11" i="42"/>
  <c r="C9" i="42"/>
  <c r="R41" i="42" s="1"/>
  <c r="U41" i="42" s="1"/>
  <c r="A9" i="42"/>
  <c r="C8" i="42"/>
  <c r="Q39" i="42" s="1"/>
  <c r="A8" i="42"/>
  <c r="L7" i="42"/>
  <c r="L8" i="42" s="1"/>
  <c r="C7" i="42"/>
  <c r="E41" i="42" s="1"/>
  <c r="H41" i="42" s="1"/>
  <c r="A7" i="42"/>
  <c r="C6" i="42"/>
  <c r="C5" i="42"/>
  <c r="P4" i="42"/>
  <c r="C4" i="42"/>
  <c r="P3" i="42"/>
  <c r="C3" i="42"/>
  <c r="N1" i="42"/>
  <c r="S38" i="28"/>
  <c r="T38" i="28"/>
  <c r="U38" i="28"/>
  <c r="S39" i="28"/>
  <c r="T39" i="28"/>
  <c r="U39" i="28"/>
  <c r="S40" i="28"/>
  <c r="T40" i="28"/>
  <c r="U40" i="28"/>
  <c r="S17" i="28"/>
  <c r="T17" i="28"/>
  <c r="U17" i="28"/>
  <c r="S18" i="28"/>
  <c r="T18" i="28"/>
  <c r="U18" i="28"/>
  <c r="S19" i="28"/>
  <c r="T19" i="28"/>
  <c r="U19" i="28"/>
  <c r="H38" i="28"/>
  <c r="I38" i="28"/>
  <c r="J38" i="28"/>
  <c r="H39" i="28"/>
  <c r="I39" i="28"/>
  <c r="J39" i="28"/>
  <c r="H40" i="28"/>
  <c r="I40" i="28"/>
  <c r="J40" i="28"/>
  <c r="C9" i="28"/>
  <c r="G38" i="28" s="1"/>
  <c r="C8" i="28"/>
  <c r="F41" i="28" s="1"/>
  <c r="I41" i="28" s="1"/>
  <c r="C7" i="28"/>
  <c r="E40" i="28" s="1"/>
  <c r="O21" i="42" l="1"/>
  <c r="O23" i="42"/>
  <c r="L9" i="42"/>
  <c r="Q16" i="28"/>
  <c r="T16" i="28" s="1"/>
  <c r="Q17" i="28"/>
  <c r="Q20" i="28"/>
  <c r="T20" i="28" s="1"/>
  <c r="Q39" i="28"/>
  <c r="Q19" i="28"/>
  <c r="Q41" i="28"/>
  <c r="T41" i="28" s="1"/>
  <c r="Q18" i="28"/>
  <c r="P41" i="28"/>
  <c r="S41" i="28" s="1"/>
  <c r="P39" i="28"/>
  <c r="P40" i="42"/>
  <c r="P39" i="42"/>
  <c r="P20" i="28"/>
  <c r="S20" i="28" s="1"/>
  <c r="P41" i="42"/>
  <c r="S41" i="42" s="1"/>
  <c r="P19" i="42"/>
  <c r="P20" i="42"/>
  <c r="S20" i="42" s="1"/>
  <c r="R20" i="28"/>
  <c r="U20" i="28" s="1"/>
  <c r="R39" i="28"/>
  <c r="R37" i="28"/>
  <c r="U37" i="28" s="1"/>
  <c r="R18" i="28"/>
  <c r="R40" i="28"/>
  <c r="R16" i="28"/>
  <c r="U16" i="28" s="1"/>
  <c r="R19" i="28"/>
  <c r="R17" i="28"/>
  <c r="R41" i="28"/>
  <c r="U41" i="28" s="1"/>
  <c r="R38" i="28"/>
  <c r="Q40" i="28"/>
  <c r="Q37" i="28"/>
  <c r="T37" i="28" s="1"/>
  <c r="Q38" i="28"/>
  <c r="P17" i="28"/>
  <c r="P18" i="28"/>
  <c r="P40" i="28"/>
  <c r="P38" i="28"/>
  <c r="P18" i="42"/>
  <c r="P37" i="42"/>
  <c r="S37" i="42" s="1"/>
  <c r="P38" i="42"/>
  <c r="P16" i="28"/>
  <c r="S16" i="28" s="1"/>
  <c r="S21" i="28" s="1"/>
  <c r="P19" i="28"/>
  <c r="P37" i="28"/>
  <c r="S37" i="28" s="1"/>
  <c r="P16" i="42"/>
  <c r="S16" i="42" s="1"/>
  <c r="S21" i="42" s="1"/>
  <c r="P17" i="42"/>
  <c r="G16" i="42"/>
  <c r="J16" i="42" s="1"/>
  <c r="G17" i="42"/>
  <c r="G18" i="42"/>
  <c r="G19" i="42"/>
  <c r="A34" i="42"/>
  <c r="C36" i="42"/>
  <c r="G37" i="42"/>
  <c r="J37" i="42" s="1"/>
  <c r="G38" i="42"/>
  <c r="G39" i="42"/>
  <c r="G41" i="42"/>
  <c r="J41" i="42" s="1"/>
  <c r="A46" i="42"/>
  <c r="A50" i="42"/>
  <c r="Q18" i="42"/>
  <c r="L26" i="42"/>
  <c r="L30" i="42"/>
  <c r="D36" i="42"/>
  <c r="Q37" i="42"/>
  <c r="T37" i="42" s="1"/>
  <c r="Q38" i="42"/>
  <c r="Q40" i="42"/>
  <c r="Q41" i="42"/>
  <c r="T41" i="42" s="1"/>
  <c r="L12" i="42"/>
  <c r="L33" i="42" s="1"/>
  <c r="M15" i="42"/>
  <c r="M36" i="42" s="1"/>
  <c r="F16" i="42"/>
  <c r="I16" i="42" s="1"/>
  <c r="F17" i="42"/>
  <c r="F18" i="42"/>
  <c r="F19" i="42"/>
  <c r="F20" i="42"/>
  <c r="I20" i="42" s="1"/>
  <c r="N21" i="42"/>
  <c r="L27" i="42"/>
  <c r="L29" i="42"/>
  <c r="F37" i="42"/>
  <c r="I37" i="42" s="1"/>
  <c r="F38" i="42"/>
  <c r="F39" i="42"/>
  <c r="F40" i="42"/>
  <c r="F41" i="42"/>
  <c r="I41" i="42" s="1"/>
  <c r="L47" i="42"/>
  <c r="L49" i="42"/>
  <c r="G20" i="42"/>
  <c r="J20" i="42" s="1"/>
  <c r="O22" i="42"/>
  <c r="G40" i="42"/>
  <c r="A44" i="42"/>
  <c r="A48" i="42"/>
  <c r="Q16" i="42"/>
  <c r="T16" i="42" s="1"/>
  <c r="Q17" i="42"/>
  <c r="Q19" i="42"/>
  <c r="Q20" i="42"/>
  <c r="T20" i="42" s="1"/>
  <c r="L28" i="42"/>
  <c r="L15" i="42"/>
  <c r="L36" i="42" s="1"/>
  <c r="E16" i="42"/>
  <c r="H16" i="42" s="1"/>
  <c r="R16" i="42"/>
  <c r="U16" i="42" s="1"/>
  <c r="E17" i="42"/>
  <c r="R17" i="42"/>
  <c r="E18" i="42"/>
  <c r="R18" i="42"/>
  <c r="E19" i="42"/>
  <c r="R19" i="42"/>
  <c r="E20" i="42"/>
  <c r="H20" i="42" s="1"/>
  <c r="R20" i="42"/>
  <c r="U20" i="42" s="1"/>
  <c r="L23" i="42"/>
  <c r="E37" i="42"/>
  <c r="H37" i="42" s="1"/>
  <c r="H42" i="42" s="1"/>
  <c r="R37" i="42"/>
  <c r="U37" i="42" s="1"/>
  <c r="U42" i="42" s="1"/>
  <c r="E38" i="42"/>
  <c r="R38" i="42"/>
  <c r="E39" i="42"/>
  <c r="R39" i="42"/>
  <c r="E40" i="42"/>
  <c r="R40" i="42"/>
  <c r="F38" i="28"/>
  <c r="F37" i="28"/>
  <c r="I37" i="28" s="1"/>
  <c r="I42" i="28" s="1"/>
  <c r="G41" i="28"/>
  <c r="J41" i="28" s="1"/>
  <c r="E41" i="28"/>
  <c r="H41" i="28" s="1"/>
  <c r="G39" i="28"/>
  <c r="G37" i="28"/>
  <c r="J37" i="28" s="1"/>
  <c r="G40" i="28"/>
  <c r="F39" i="28"/>
  <c r="E38" i="28"/>
  <c r="F40" i="28"/>
  <c r="E39" i="28"/>
  <c r="E37" i="28"/>
  <c r="H37" i="28" s="1"/>
  <c r="H42" i="28" s="1"/>
  <c r="T21" i="42" l="1"/>
  <c r="T42" i="28"/>
  <c r="T21" i="28"/>
  <c r="U21" i="28"/>
  <c r="S42" i="28"/>
  <c r="S42" i="42"/>
  <c r="U42" i="28"/>
  <c r="T42" i="42"/>
  <c r="J21" i="42"/>
  <c r="J42" i="28"/>
  <c r="I42" i="42"/>
  <c r="U21" i="42"/>
  <c r="I21" i="42"/>
  <c r="H21" i="42"/>
  <c r="J42" i="42"/>
  <c r="D22" i="28"/>
  <c r="H18" i="28"/>
  <c r="I18" i="28"/>
  <c r="J18" i="28"/>
  <c r="H19" i="28"/>
  <c r="I19" i="28"/>
  <c r="J19" i="28"/>
  <c r="D4" i="4"/>
  <c r="E4" i="4"/>
  <c r="E3" i="4"/>
  <c r="D3" i="4"/>
  <c r="D43" i="28" l="1"/>
  <c r="O43" i="28" s="1"/>
  <c r="O22" i="28"/>
  <c r="H22" i="28"/>
  <c r="I22" i="42"/>
  <c r="I23" i="42" s="1"/>
  <c r="H22" i="42"/>
  <c r="H23" i="42" s="1"/>
  <c r="J22" i="42"/>
  <c r="J22" i="28"/>
  <c r="I22" i="28"/>
  <c r="A9" i="28"/>
  <c r="A8" i="28"/>
  <c r="A7" i="28"/>
  <c r="H43" i="28" l="1"/>
  <c r="S43" i="28" s="1"/>
  <c r="S22" i="28"/>
  <c r="I43" i="42"/>
  <c r="T22" i="42"/>
  <c r="T23" i="42" s="1"/>
  <c r="I43" i="28"/>
  <c r="T43" i="28" s="1"/>
  <c r="T22" i="28"/>
  <c r="J43" i="28"/>
  <c r="U43" i="28" s="1"/>
  <c r="U22" i="28"/>
  <c r="J43" i="42"/>
  <c r="U22" i="42"/>
  <c r="U23" i="42" s="1"/>
  <c r="J23" i="42"/>
  <c r="H43" i="42"/>
  <c r="S22" i="42"/>
  <c r="S23" i="42" s="1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T43" i="42" l="1"/>
  <c r="T44" i="42" s="1"/>
  <c r="I44" i="42"/>
  <c r="S43" i="42"/>
  <c r="S44" i="42" s="1"/>
  <c r="H44" i="42"/>
  <c r="U43" i="42"/>
  <c r="U44" i="42" s="1"/>
  <c r="J44" i="42"/>
  <c r="N52" i="41"/>
  <c r="M52" i="41"/>
  <c r="L52" i="41"/>
  <c r="K52" i="41"/>
  <c r="J52" i="41"/>
  <c r="I52" i="41"/>
  <c r="H52" i="41"/>
  <c r="G52" i="41"/>
  <c r="F52" i="41"/>
  <c r="E52" i="41"/>
  <c r="D52" i="41"/>
  <c r="C52" i="41"/>
  <c r="N35" i="41"/>
  <c r="M35" i="41"/>
  <c r="L35" i="41"/>
  <c r="K35" i="41"/>
  <c r="J35" i="41"/>
  <c r="I35" i="41"/>
  <c r="H35" i="41"/>
  <c r="G35" i="41"/>
  <c r="F35" i="41"/>
  <c r="E35" i="41"/>
  <c r="D35" i="41"/>
  <c r="C35" i="41"/>
  <c r="N19" i="41"/>
  <c r="M19" i="41"/>
  <c r="L19" i="41"/>
  <c r="K19" i="41"/>
  <c r="J19" i="41"/>
  <c r="I19" i="41"/>
  <c r="H19" i="41"/>
  <c r="G19" i="41"/>
  <c r="A153" i="4"/>
  <c r="A152" i="4"/>
  <c r="C41" i="41"/>
  <c r="C24" i="41"/>
  <c r="C8" i="41"/>
  <c r="B10" i="33"/>
  <c r="F20" i="41"/>
  <c r="F53" i="41" s="1"/>
  <c r="F19" i="41"/>
  <c r="E19" i="41"/>
  <c r="D19" i="41"/>
  <c r="C19" i="41"/>
  <c r="I5" i="41"/>
  <c r="C5" i="41"/>
  <c r="I4" i="41"/>
  <c r="C4" i="41"/>
  <c r="C3" i="41"/>
  <c r="J1" i="41"/>
  <c r="F36" i="41" l="1"/>
  <c r="J53" i="41"/>
  <c r="K54" i="41"/>
  <c r="K55" i="41" s="1"/>
  <c r="G54" i="41"/>
  <c r="G55" i="41" s="1"/>
  <c r="C54" i="41"/>
  <c r="C55" i="41" s="1"/>
  <c r="K37" i="41"/>
  <c r="K38" i="41" s="1"/>
  <c r="G37" i="41"/>
  <c r="G38" i="41" s="1"/>
  <c r="C37" i="41"/>
  <c r="C38" i="41" s="1"/>
  <c r="N54" i="41"/>
  <c r="N55" i="41" s="1"/>
  <c r="J54" i="41"/>
  <c r="J55" i="41" s="1"/>
  <c r="N37" i="41"/>
  <c r="N38" i="41" s="1"/>
  <c r="F37" i="41"/>
  <c r="F38" i="41" s="1"/>
  <c r="M54" i="41"/>
  <c r="M55" i="41" s="1"/>
  <c r="I54" i="41"/>
  <c r="I55" i="41" s="1"/>
  <c r="M37" i="41"/>
  <c r="M38" i="41" s="1"/>
  <c r="E37" i="41"/>
  <c r="E38" i="41" s="1"/>
  <c r="L54" i="41"/>
  <c r="L55" i="41" s="1"/>
  <c r="H54" i="41"/>
  <c r="H55" i="41" s="1"/>
  <c r="D54" i="41"/>
  <c r="D55" i="41" s="1"/>
  <c r="L37" i="41"/>
  <c r="L38" i="41" s="1"/>
  <c r="H37" i="41"/>
  <c r="H38" i="41" s="1"/>
  <c r="D37" i="41"/>
  <c r="D38" i="41" s="1"/>
  <c r="F54" i="41"/>
  <c r="F55" i="41" s="1"/>
  <c r="J37" i="41"/>
  <c r="J38" i="41" s="1"/>
  <c r="E54" i="41"/>
  <c r="E55" i="41" s="1"/>
  <c r="I37" i="41"/>
  <c r="I38" i="41" s="1"/>
  <c r="N21" i="41"/>
  <c r="N22" i="41" s="1"/>
  <c r="K21" i="41"/>
  <c r="K22" i="41" s="1"/>
  <c r="M21" i="41"/>
  <c r="M22" i="41" s="1"/>
  <c r="L21" i="41"/>
  <c r="L22" i="41" s="1"/>
  <c r="J36" i="41"/>
  <c r="N53" i="41"/>
  <c r="J20" i="41"/>
  <c r="N36" i="41"/>
  <c r="N20" i="41"/>
  <c r="C21" i="41"/>
  <c r="I21" i="41"/>
  <c r="I22" i="41" s="1"/>
  <c r="F21" i="41"/>
  <c r="H21" i="41"/>
  <c r="H22" i="41" s="1"/>
  <c r="D21" i="41"/>
  <c r="J21" i="41"/>
  <c r="J22" i="41" s="1"/>
  <c r="E21" i="41"/>
  <c r="G21" i="41"/>
  <c r="G22" i="41" s="1"/>
  <c r="C65" i="39"/>
  <c r="C64" i="39"/>
  <c r="O63" i="39"/>
  <c r="T63" i="39" s="1"/>
  <c r="I63" i="39"/>
  <c r="N63" i="39" s="1"/>
  <c r="S63" i="39" s="1"/>
  <c r="H63" i="39"/>
  <c r="M63" i="39" s="1"/>
  <c r="R63" i="39" s="1"/>
  <c r="E63" i="39"/>
  <c r="D63" i="39"/>
  <c r="T60" i="39"/>
  <c r="O60" i="39"/>
  <c r="J60" i="39"/>
  <c r="T59" i="39"/>
  <c r="O59" i="39"/>
  <c r="J59" i="39"/>
  <c r="T58" i="39"/>
  <c r="O58" i="39"/>
  <c r="J58" i="39"/>
  <c r="T57" i="39"/>
  <c r="O57" i="39"/>
  <c r="J57" i="39"/>
  <c r="T56" i="39"/>
  <c r="O56" i="39"/>
  <c r="J56" i="39"/>
  <c r="T55" i="39"/>
  <c r="O55" i="39"/>
  <c r="J55" i="39"/>
  <c r="T54" i="39"/>
  <c r="O54" i="39"/>
  <c r="J54" i="39"/>
  <c r="T53" i="39"/>
  <c r="O53" i="39"/>
  <c r="J53" i="39"/>
  <c r="T52" i="39"/>
  <c r="O52" i="39"/>
  <c r="J52" i="39"/>
  <c r="T51" i="39"/>
  <c r="O51" i="39"/>
  <c r="J51" i="39"/>
  <c r="T50" i="39"/>
  <c r="O50" i="39"/>
  <c r="J50" i="39"/>
  <c r="T49" i="39"/>
  <c r="O49" i="39"/>
  <c r="J49" i="39"/>
  <c r="T48" i="39"/>
  <c r="O48" i="39"/>
  <c r="J48" i="39"/>
  <c r="T47" i="39"/>
  <c r="O47" i="39"/>
  <c r="J47" i="39"/>
  <c r="T46" i="39"/>
  <c r="O46" i="39"/>
  <c r="J46" i="39"/>
  <c r="T45" i="39"/>
  <c r="O45" i="39"/>
  <c r="J45" i="39"/>
  <c r="T44" i="39"/>
  <c r="O44" i="39"/>
  <c r="J44" i="39"/>
  <c r="T43" i="39"/>
  <c r="O43" i="39"/>
  <c r="J43" i="39"/>
  <c r="T42" i="39"/>
  <c r="O42" i="39"/>
  <c r="J42" i="39"/>
  <c r="T41" i="39"/>
  <c r="O41" i="39"/>
  <c r="J41" i="39"/>
  <c r="T40" i="39"/>
  <c r="O40" i="39"/>
  <c r="J40" i="39"/>
  <c r="T39" i="39"/>
  <c r="O39" i="39"/>
  <c r="J39" i="39"/>
  <c r="T38" i="39"/>
  <c r="O38" i="39"/>
  <c r="J38" i="39"/>
  <c r="T37" i="39"/>
  <c r="O37" i="39"/>
  <c r="J37" i="39"/>
  <c r="T36" i="39"/>
  <c r="O36" i="39"/>
  <c r="J36" i="39"/>
  <c r="T35" i="39"/>
  <c r="O35" i="39"/>
  <c r="J35" i="39"/>
  <c r="T34" i="39"/>
  <c r="O34" i="39"/>
  <c r="J34" i="39"/>
  <c r="T33" i="39"/>
  <c r="O33" i="39"/>
  <c r="J33" i="39"/>
  <c r="T32" i="39"/>
  <c r="O32" i="39"/>
  <c r="J32" i="39"/>
  <c r="T31" i="39"/>
  <c r="O31" i="39"/>
  <c r="J31" i="39"/>
  <c r="T30" i="39"/>
  <c r="O30" i="39"/>
  <c r="J30" i="39"/>
  <c r="T29" i="39"/>
  <c r="O29" i="39"/>
  <c r="J29" i="39"/>
  <c r="T28" i="39"/>
  <c r="O28" i="39"/>
  <c r="J28" i="39"/>
  <c r="T27" i="39"/>
  <c r="O27" i="39"/>
  <c r="J27" i="39"/>
  <c r="T26" i="39"/>
  <c r="O26" i="39"/>
  <c r="J26" i="39"/>
  <c r="T25" i="39"/>
  <c r="O25" i="39"/>
  <c r="J25" i="39"/>
  <c r="T24" i="39"/>
  <c r="O24" i="39"/>
  <c r="J24" i="39"/>
  <c r="T23" i="39"/>
  <c r="O23" i="39"/>
  <c r="J23" i="39"/>
  <c r="T22" i="39"/>
  <c r="O22" i="39"/>
  <c r="J22" i="39"/>
  <c r="T21" i="39"/>
  <c r="O21" i="39"/>
  <c r="J21" i="39"/>
  <c r="T20" i="39"/>
  <c r="O20" i="39"/>
  <c r="J20" i="39"/>
  <c r="T19" i="39"/>
  <c r="O19" i="39"/>
  <c r="J19" i="39"/>
  <c r="L11" i="39"/>
  <c r="Q11" i="39" s="1"/>
  <c r="H11" i="39"/>
  <c r="I10" i="39"/>
  <c r="N10" i="39" s="1"/>
  <c r="S10" i="39" s="1"/>
  <c r="H10" i="39"/>
  <c r="M10" i="39" s="1"/>
  <c r="R10" i="39" s="1"/>
  <c r="G10" i="39"/>
  <c r="G63" i="39" s="1"/>
  <c r="L63" i="39" s="1"/>
  <c r="Q63" i="39" s="1"/>
  <c r="F10" i="39"/>
  <c r="K10" i="39" s="1"/>
  <c r="P10" i="39" s="1"/>
  <c r="E10" i="39"/>
  <c r="D10" i="39"/>
  <c r="P9" i="39"/>
  <c r="K9" i="39"/>
  <c r="F9" i="39"/>
  <c r="C8" i="39"/>
  <c r="C7" i="39"/>
  <c r="C6" i="39"/>
  <c r="C5" i="39"/>
  <c r="I4" i="39"/>
  <c r="C4" i="39"/>
  <c r="I3" i="39"/>
  <c r="G1" i="39"/>
  <c r="C65" i="37"/>
  <c r="C64" i="37"/>
  <c r="O63" i="37"/>
  <c r="T63" i="37" s="1"/>
  <c r="I63" i="37"/>
  <c r="N63" i="37" s="1"/>
  <c r="S63" i="37" s="1"/>
  <c r="H63" i="37"/>
  <c r="M63" i="37" s="1"/>
  <c r="R63" i="37" s="1"/>
  <c r="E63" i="37"/>
  <c r="D63" i="37"/>
  <c r="T60" i="37"/>
  <c r="O60" i="37"/>
  <c r="J60" i="37"/>
  <c r="T59" i="37"/>
  <c r="O59" i="37"/>
  <c r="J59" i="37"/>
  <c r="T58" i="37"/>
  <c r="O58" i="37"/>
  <c r="J58" i="37"/>
  <c r="T57" i="37"/>
  <c r="O57" i="37"/>
  <c r="J57" i="37"/>
  <c r="T56" i="37"/>
  <c r="O56" i="37"/>
  <c r="J56" i="37"/>
  <c r="T55" i="37"/>
  <c r="O55" i="37"/>
  <c r="J55" i="37"/>
  <c r="T54" i="37"/>
  <c r="O54" i="37"/>
  <c r="J54" i="37"/>
  <c r="T53" i="37"/>
  <c r="O53" i="37"/>
  <c r="J53" i="37"/>
  <c r="T52" i="37"/>
  <c r="O52" i="37"/>
  <c r="J52" i="37"/>
  <c r="T51" i="37"/>
  <c r="O51" i="37"/>
  <c r="J51" i="37"/>
  <c r="T50" i="37"/>
  <c r="O50" i="37"/>
  <c r="J50" i="37"/>
  <c r="T49" i="37"/>
  <c r="O49" i="37"/>
  <c r="J49" i="37"/>
  <c r="T48" i="37"/>
  <c r="O48" i="37"/>
  <c r="J48" i="37"/>
  <c r="T47" i="37"/>
  <c r="O47" i="37"/>
  <c r="J47" i="37"/>
  <c r="T46" i="37"/>
  <c r="O46" i="37"/>
  <c r="J46" i="37"/>
  <c r="T45" i="37"/>
  <c r="O45" i="37"/>
  <c r="J45" i="37"/>
  <c r="T44" i="37"/>
  <c r="O44" i="37"/>
  <c r="J44" i="37"/>
  <c r="T43" i="37"/>
  <c r="O43" i="37"/>
  <c r="J43" i="37"/>
  <c r="T42" i="37"/>
  <c r="O42" i="37"/>
  <c r="J42" i="37"/>
  <c r="T41" i="37"/>
  <c r="O41" i="37"/>
  <c r="J41" i="37"/>
  <c r="T40" i="37"/>
  <c r="O40" i="37"/>
  <c r="J40" i="37"/>
  <c r="T39" i="37"/>
  <c r="O39" i="37"/>
  <c r="J39" i="37"/>
  <c r="T38" i="37"/>
  <c r="O38" i="37"/>
  <c r="J38" i="37"/>
  <c r="T37" i="37"/>
  <c r="O37" i="37"/>
  <c r="J37" i="37"/>
  <c r="T36" i="37"/>
  <c r="O36" i="37"/>
  <c r="J36" i="37"/>
  <c r="T35" i="37"/>
  <c r="O35" i="37"/>
  <c r="J35" i="37"/>
  <c r="T34" i="37"/>
  <c r="O34" i="37"/>
  <c r="J34" i="37"/>
  <c r="T33" i="37"/>
  <c r="O33" i="37"/>
  <c r="J33" i="37"/>
  <c r="T32" i="37"/>
  <c r="O32" i="37"/>
  <c r="J32" i="37"/>
  <c r="T31" i="37"/>
  <c r="O31" i="37"/>
  <c r="J31" i="37"/>
  <c r="T30" i="37"/>
  <c r="O30" i="37"/>
  <c r="J30" i="37"/>
  <c r="T29" i="37"/>
  <c r="O29" i="37"/>
  <c r="J29" i="37"/>
  <c r="T28" i="37"/>
  <c r="O28" i="37"/>
  <c r="J28" i="37"/>
  <c r="T27" i="37"/>
  <c r="O27" i="37"/>
  <c r="J27" i="37"/>
  <c r="T26" i="37"/>
  <c r="O26" i="37"/>
  <c r="J26" i="37"/>
  <c r="T25" i="37"/>
  <c r="O25" i="37"/>
  <c r="J25" i="37"/>
  <c r="T24" i="37"/>
  <c r="O24" i="37"/>
  <c r="J24" i="37"/>
  <c r="T23" i="37"/>
  <c r="O23" i="37"/>
  <c r="J23" i="37"/>
  <c r="T22" i="37"/>
  <c r="O22" i="37"/>
  <c r="J22" i="37"/>
  <c r="T21" i="37"/>
  <c r="O21" i="37"/>
  <c r="J21" i="37"/>
  <c r="T20" i="37"/>
  <c r="O20" i="37"/>
  <c r="J20" i="37"/>
  <c r="T19" i="37"/>
  <c r="O19" i="37"/>
  <c r="J19" i="37"/>
  <c r="L11" i="37"/>
  <c r="Q11" i="37" s="1"/>
  <c r="K11" i="37"/>
  <c r="P11" i="37" s="1"/>
  <c r="I10" i="37"/>
  <c r="N10" i="37" s="1"/>
  <c r="S10" i="37" s="1"/>
  <c r="H10" i="37"/>
  <c r="M10" i="37" s="1"/>
  <c r="R10" i="37" s="1"/>
  <c r="G10" i="37"/>
  <c r="G63" i="37" s="1"/>
  <c r="L63" i="37" s="1"/>
  <c r="Q63" i="37" s="1"/>
  <c r="F10" i="37"/>
  <c r="K10" i="37" s="1"/>
  <c r="P10" i="37" s="1"/>
  <c r="E10" i="37"/>
  <c r="D10" i="37"/>
  <c r="P9" i="37"/>
  <c r="K9" i="37"/>
  <c r="F9" i="37"/>
  <c r="C8" i="37"/>
  <c r="C7" i="37"/>
  <c r="C6" i="37"/>
  <c r="C5" i="37"/>
  <c r="I4" i="37"/>
  <c r="C4" i="37"/>
  <c r="I3" i="37"/>
  <c r="G1" i="37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P9" i="1"/>
  <c r="K9" i="41" s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3" i="1"/>
  <c r="T63" i="1" s="1"/>
  <c r="K9" i="1"/>
  <c r="G9" i="41" s="1"/>
  <c r="C5" i="1"/>
  <c r="C6" i="1"/>
  <c r="C7" i="1"/>
  <c r="C8" i="1"/>
  <c r="G1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C65" i="1"/>
  <c r="B22" i="41" s="1"/>
  <c r="C64" i="1"/>
  <c r="B21" i="41" s="1"/>
  <c r="L11" i="1"/>
  <c r="Q11" i="1" s="1"/>
  <c r="G10" i="1"/>
  <c r="C10" i="41" s="1"/>
  <c r="G26" i="41" s="1"/>
  <c r="F10" i="1"/>
  <c r="K10" i="1" s="1"/>
  <c r="P10" i="1" s="1"/>
  <c r="B54" i="41" l="1"/>
  <c r="B37" i="41"/>
  <c r="B38" i="41"/>
  <c r="B55" i="41"/>
  <c r="C43" i="41"/>
  <c r="G43" i="41"/>
  <c r="G10" i="41"/>
  <c r="K43" i="41"/>
  <c r="G25" i="41"/>
  <c r="G42" i="41"/>
  <c r="K10" i="41"/>
  <c r="K42" i="41"/>
  <c r="K25" i="41"/>
  <c r="K26" i="41"/>
  <c r="C26" i="41"/>
  <c r="L10" i="39"/>
  <c r="Q10" i="39" s="1"/>
  <c r="M11" i="39"/>
  <c r="R11" i="39" s="1"/>
  <c r="I11" i="39"/>
  <c r="K11" i="39"/>
  <c r="P11" i="39" s="1"/>
  <c r="H11" i="37"/>
  <c r="L10" i="37"/>
  <c r="Q10" i="37" s="1"/>
  <c r="G63" i="1"/>
  <c r="L10" i="1"/>
  <c r="Q10" i="1" s="1"/>
  <c r="H11" i="1"/>
  <c r="M11" i="1" s="1"/>
  <c r="R11" i="1" s="1"/>
  <c r="K11" i="1"/>
  <c r="P11" i="1" s="1"/>
  <c r="A39" i="2"/>
  <c r="A37" i="2"/>
  <c r="A35" i="2"/>
  <c r="E34" i="2"/>
  <c r="D34" i="2"/>
  <c r="C34" i="2"/>
  <c r="A173" i="4"/>
  <c r="A172" i="4"/>
  <c r="A171" i="4"/>
  <c r="A170" i="4"/>
  <c r="A151" i="4"/>
  <c r="A150" i="4"/>
  <c r="A149" i="4"/>
  <c r="A148" i="4"/>
  <c r="A147" i="4"/>
  <c r="A146" i="4"/>
  <c r="A145" i="4"/>
  <c r="A144" i="4"/>
  <c r="A143" i="4"/>
  <c r="A142" i="4"/>
  <c r="A23" i="2"/>
  <c r="F9" i="1"/>
  <c r="C9" i="41" s="1"/>
  <c r="F18" i="28" l="1"/>
  <c r="E16" i="28"/>
  <c r="H16" i="28" s="1"/>
  <c r="C42" i="41"/>
  <c r="C25" i="41"/>
  <c r="L63" i="1"/>
  <c r="Q63" i="1" s="1"/>
  <c r="C20" i="41"/>
  <c r="N11" i="39"/>
  <c r="S11" i="39" s="1"/>
  <c r="J11" i="39"/>
  <c r="O11" i="39" s="1"/>
  <c r="T11" i="39" s="1"/>
  <c r="M11" i="37"/>
  <c r="R11" i="37" s="1"/>
  <c r="I11" i="37"/>
  <c r="B134" i="4"/>
  <c r="A141" i="4"/>
  <c r="A140" i="4"/>
  <c r="A139" i="4"/>
  <c r="A138" i="4"/>
  <c r="A137" i="4"/>
  <c r="A136" i="4"/>
  <c r="A135" i="4"/>
  <c r="A134" i="4"/>
  <c r="A133" i="4"/>
  <c r="A132" i="4"/>
  <c r="A131" i="4"/>
  <c r="O2" i="42" l="1"/>
  <c r="J2" i="41"/>
  <c r="H2" i="39"/>
  <c r="H2" i="37"/>
  <c r="F19" i="28"/>
  <c r="F17" i="28"/>
  <c r="I17" i="28" s="1"/>
  <c r="E20" i="28"/>
  <c r="H20" i="28" s="1"/>
  <c r="E19" i="28"/>
  <c r="F20" i="28"/>
  <c r="I20" i="28" s="1"/>
  <c r="F16" i="28"/>
  <c r="I16" i="28" s="1"/>
  <c r="E17" i="28"/>
  <c r="H17" i="28" s="1"/>
  <c r="E18" i="28"/>
  <c r="G16" i="28"/>
  <c r="J16" i="28" s="1"/>
  <c r="G18" i="28"/>
  <c r="G20" i="28"/>
  <c r="J20" i="28" s="1"/>
  <c r="G17" i="28"/>
  <c r="J17" i="28" s="1"/>
  <c r="G19" i="28"/>
  <c r="K53" i="41"/>
  <c r="G53" i="41"/>
  <c r="C53" i="41"/>
  <c r="K36" i="41"/>
  <c r="G36" i="41"/>
  <c r="C36" i="41"/>
  <c r="G20" i="41"/>
  <c r="K20" i="41"/>
  <c r="J11" i="37"/>
  <c r="O11" i="37" s="1"/>
  <c r="T11" i="37" s="1"/>
  <c r="N11" i="37"/>
  <c r="S11" i="37" s="1"/>
  <c r="AN151" i="4"/>
  <c r="AK151" i="4"/>
  <c r="AH151" i="4"/>
  <c r="AD151" i="4"/>
  <c r="AM150" i="4"/>
  <c r="AF150" i="4"/>
  <c r="AN149" i="4"/>
  <c r="AK149" i="4"/>
  <c r="AH149" i="4"/>
  <c r="AD149" i="4"/>
  <c r="AM148" i="4"/>
  <c r="AF148" i="4"/>
  <c r="AN147" i="4"/>
  <c r="AK147" i="4"/>
  <c r="AH147" i="4"/>
  <c r="AD147" i="4"/>
  <c r="AM146" i="4"/>
  <c r="AF146" i="4"/>
  <c r="AN145" i="4"/>
  <c r="AK145" i="4"/>
  <c r="AH145" i="4"/>
  <c r="AD145" i="4"/>
  <c r="AM144" i="4"/>
  <c r="AF144" i="4"/>
  <c r="AB151" i="4"/>
  <c r="Y151" i="4"/>
  <c r="V151" i="4"/>
  <c r="R151" i="4"/>
  <c r="AA150" i="4"/>
  <c r="T150" i="4"/>
  <c r="AB149" i="4"/>
  <c r="Y149" i="4"/>
  <c r="V149" i="4"/>
  <c r="R149" i="4"/>
  <c r="AA148" i="4"/>
  <c r="T148" i="4"/>
  <c r="AB147" i="4"/>
  <c r="Y147" i="4"/>
  <c r="V147" i="4"/>
  <c r="R147" i="4"/>
  <c r="AA146" i="4"/>
  <c r="T146" i="4"/>
  <c r="AB145" i="4"/>
  <c r="Y145" i="4"/>
  <c r="V145" i="4"/>
  <c r="R145" i="4"/>
  <c r="AA144" i="4"/>
  <c r="T144" i="4"/>
  <c r="AJ151" i="4"/>
  <c r="AG151" i="4"/>
  <c r="AC151" i="4"/>
  <c r="AL150" i="4"/>
  <c r="AI150" i="4"/>
  <c r="AE150" i="4"/>
  <c r="AJ149" i="4"/>
  <c r="AG149" i="4"/>
  <c r="AC149" i="4"/>
  <c r="AL148" i="4"/>
  <c r="AI148" i="4"/>
  <c r="AE148" i="4"/>
  <c r="AJ147" i="4"/>
  <c r="AG147" i="4"/>
  <c r="AC147" i="4"/>
  <c r="AL146" i="4"/>
  <c r="AI146" i="4"/>
  <c r="AE146" i="4"/>
  <c r="AJ145" i="4"/>
  <c r="AG145" i="4"/>
  <c r="AC145" i="4"/>
  <c r="AL144" i="4"/>
  <c r="AI144" i="4"/>
  <c r="AE144" i="4"/>
  <c r="X151" i="4"/>
  <c r="U151" i="4"/>
  <c r="Q151" i="4"/>
  <c r="Z150" i="4"/>
  <c r="W150" i="4"/>
  <c r="S150" i="4"/>
  <c r="X149" i="4"/>
  <c r="U149" i="4"/>
  <c r="Q149" i="4"/>
  <c r="Z148" i="4"/>
  <c r="W148" i="4"/>
  <c r="S148" i="4"/>
  <c r="X147" i="4"/>
  <c r="U147" i="4"/>
  <c r="Q147" i="4"/>
  <c r="Z146" i="4"/>
  <c r="W146" i="4"/>
  <c r="S146" i="4"/>
  <c r="X145" i="4"/>
  <c r="U145" i="4"/>
  <c r="Q145" i="4"/>
  <c r="Z144" i="4"/>
  <c r="W144" i="4"/>
  <c r="S144" i="4"/>
  <c r="AM151" i="4"/>
  <c r="AF151" i="4"/>
  <c r="AN150" i="4"/>
  <c r="AK150" i="4"/>
  <c r="AH150" i="4"/>
  <c r="AD150" i="4"/>
  <c r="AM149" i="4"/>
  <c r="AF149" i="4"/>
  <c r="AN148" i="4"/>
  <c r="AK148" i="4"/>
  <c r="AH148" i="4"/>
  <c r="AD148" i="4"/>
  <c r="AM147" i="4"/>
  <c r="AF147" i="4"/>
  <c r="AN146" i="4"/>
  <c r="AK146" i="4"/>
  <c r="AH146" i="4"/>
  <c r="AD146" i="4"/>
  <c r="AM145" i="4"/>
  <c r="AF145" i="4"/>
  <c r="AN144" i="4"/>
  <c r="AK144" i="4"/>
  <c r="AH144" i="4"/>
  <c r="AD144" i="4"/>
  <c r="AE151" i="4"/>
  <c r="AC150" i="4"/>
  <c r="AL147" i="4"/>
  <c r="AJ146" i="4"/>
  <c r="AI145" i="4"/>
  <c r="AG144" i="4"/>
  <c r="AB150" i="4"/>
  <c r="V150" i="4"/>
  <c r="AA149" i="4"/>
  <c r="T149" i="4"/>
  <c r="Y148" i="4"/>
  <c r="R148" i="4"/>
  <c r="AB146" i="4"/>
  <c r="V146" i="4"/>
  <c r="AA145" i="4"/>
  <c r="T145" i="4"/>
  <c r="Y144" i="4"/>
  <c r="R144" i="4"/>
  <c r="AL149" i="4"/>
  <c r="AJ148" i="4"/>
  <c r="AI147" i="4"/>
  <c r="AG146" i="4"/>
  <c r="AE145" i="4"/>
  <c r="AC144" i="4"/>
  <c r="W151" i="4"/>
  <c r="U150" i="4"/>
  <c r="Z149" i="4"/>
  <c r="S149" i="4"/>
  <c r="X148" i="4"/>
  <c r="Q148" i="4"/>
  <c r="W147" i="4"/>
  <c r="U146" i="4"/>
  <c r="Z145" i="4"/>
  <c r="S145" i="4"/>
  <c r="X144" i="4"/>
  <c r="Q144" i="4"/>
  <c r="AL151" i="4"/>
  <c r="AJ150" i="4"/>
  <c r="AI149" i="4"/>
  <c r="AG148" i="4"/>
  <c r="AE147" i="4"/>
  <c r="AC146" i="4"/>
  <c r="AA151" i="4"/>
  <c r="T151" i="4"/>
  <c r="Y150" i="4"/>
  <c r="R150" i="4"/>
  <c r="AB148" i="4"/>
  <c r="V148" i="4"/>
  <c r="AA147" i="4"/>
  <c r="T147" i="4"/>
  <c r="Y146" i="4"/>
  <c r="R146" i="4"/>
  <c r="AB144" i="4"/>
  <c r="V144" i="4"/>
  <c r="AI151" i="4"/>
  <c r="AG150" i="4"/>
  <c r="AE149" i="4"/>
  <c r="AC148" i="4"/>
  <c r="AL145" i="4"/>
  <c r="AJ144" i="4"/>
  <c r="Z151" i="4"/>
  <c r="S151" i="4"/>
  <c r="X150" i="4"/>
  <c r="Q150" i="4"/>
  <c r="W149" i="4"/>
  <c r="U148" i="4"/>
  <c r="Z147" i="4"/>
  <c r="S147" i="4"/>
  <c r="X146" i="4"/>
  <c r="Q146" i="4"/>
  <c r="W145" i="4"/>
  <c r="U144" i="4"/>
  <c r="P150" i="4"/>
  <c r="M150" i="4"/>
  <c r="N149" i="4"/>
  <c r="O148" i="4"/>
  <c r="P146" i="4"/>
  <c r="M146" i="4"/>
  <c r="N145" i="4"/>
  <c r="O144" i="4"/>
  <c r="L150" i="4"/>
  <c r="I150" i="4"/>
  <c r="J149" i="4"/>
  <c r="K148" i="4"/>
  <c r="L146" i="4"/>
  <c r="I146" i="4"/>
  <c r="J145" i="4"/>
  <c r="K144" i="4"/>
  <c r="D144" i="4"/>
  <c r="F145" i="4"/>
  <c r="O151" i="4"/>
  <c r="P149" i="4"/>
  <c r="M149" i="4"/>
  <c r="N148" i="4"/>
  <c r="O147" i="4"/>
  <c r="P145" i="4"/>
  <c r="M145" i="4"/>
  <c r="N144" i="4"/>
  <c r="K151" i="4"/>
  <c r="L149" i="4"/>
  <c r="I149" i="4"/>
  <c r="J148" i="4"/>
  <c r="K147" i="4"/>
  <c r="L145" i="4"/>
  <c r="I145" i="4"/>
  <c r="J144" i="4"/>
  <c r="F144" i="4"/>
  <c r="C146" i="4"/>
  <c r="D147" i="4"/>
  <c r="F148" i="4"/>
  <c r="C150" i="4"/>
  <c r="D151" i="4"/>
  <c r="B147" i="4"/>
  <c r="B151" i="4"/>
  <c r="N151" i="4"/>
  <c r="O150" i="4"/>
  <c r="P148" i="4"/>
  <c r="M148" i="4"/>
  <c r="N147" i="4"/>
  <c r="O146" i="4"/>
  <c r="P144" i="4"/>
  <c r="M144" i="4"/>
  <c r="J151" i="4"/>
  <c r="K150" i="4"/>
  <c r="L148" i="4"/>
  <c r="I148" i="4"/>
  <c r="J147" i="4"/>
  <c r="K146" i="4"/>
  <c r="L144" i="4"/>
  <c r="I144" i="4"/>
  <c r="C145" i="4"/>
  <c r="D146" i="4"/>
  <c r="F147" i="4"/>
  <c r="C149" i="4"/>
  <c r="D150" i="4"/>
  <c r="F151" i="4"/>
  <c r="B148" i="4"/>
  <c r="B144" i="4"/>
  <c r="P151" i="4"/>
  <c r="M151" i="4"/>
  <c r="N150" i="4"/>
  <c r="O149" i="4"/>
  <c r="P147" i="4"/>
  <c r="M147" i="4"/>
  <c r="N146" i="4"/>
  <c r="O145" i="4"/>
  <c r="L151" i="4"/>
  <c r="I151" i="4"/>
  <c r="J150" i="4"/>
  <c r="K149" i="4"/>
  <c r="L147" i="4"/>
  <c r="I147" i="4"/>
  <c r="J146" i="4"/>
  <c r="K145" i="4"/>
  <c r="C144" i="4"/>
  <c r="D145" i="4"/>
  <c r="F146" i="4"/>
  <c r="C148" i="4"/>
  <c r="D149" i="4"/>
  <c r="F150" i="4"/>
  <c r="B145" i="4"/>
  <c r="B149" i="4"/>
  <c r="F149" i="4"/>
  <c r="C151" i="4"/>
  <c r="C147" i="4"/>
  <c r="B146" i="4"/>
  <c r="D148" i="4"/>
  <c r="B150" i="4"/>
  <c r="J2" i="9"/>
  <c r="O2" i="28"/>
  <c r="L2" i="8"/>
  <c r="F2" i="21"/>
  <c r="H2" i="33"/>
  <c r="H2" i="1"/>
  <c r="F141" i="4"/>
  <c r="M134" i="4"/>
  <c r="O141" i="4"/>
  <c r="P139" i="4"/>
  <c r="M139" i="4"/>
  <c r="N138" i="4"/>
  <c r="O137" i="4"/>
  <c r="P135" i="4"/>
  <c r="M135" i="4"/>
  <c r="N134" i="4"/>
  <c r="J141" i="4"/>
  <c r="K140" i="4"/>
  <c r="L138" i="4"/>
  <c r="I138" i="4"/>
  <c r="J137" i="4"/>
  <c r="K136" i="4"/>
  <c r="L134" i="4"/>
  <c r="I134" i="4"/>
  <c r="N141" i="4"/>
  <c r="O140" i="4"/>
  <c r="P138" i="4"/>
  <c r="M138" i="4"/>
  <c r="N137" i="4"/>
  <c r="O136" i="4"/>
  <c r="P134" i="4"/>
  <c r="L141" i="4"/>
  <c r="I141" i="4"/>
  <c r="J140" i="4"/>
  <c r="K139" i="4"/>
  <c r="L137" i="4"/>
  <c r="I137" i="4"/>
  <c r="J136" i="4"/>
  <c r="K135" i="4"/>
  <c r="P141" i="4"/>
  <c r="M141" i="4"/>
  <c r="N140" i="4"/>
  <c r="O139" i="4"/>
  <c r="P137" i="4"/>
  <c r="M137" i="4"/>
  <c r="N136" i="4"/>
  <c r="O135" i="4"/>
  <c r="L140" i="4"/>
  <c r="I140" i="4"/>
  <c r="J139" i="4"/>
  <c r="K138" i="4"/>
  <c r="L136" i="4"/>
  <c r="I136" i="4"/>
  <c r="J135" i="4"/>
  <c r="K134" i="4"/>
  <c r="P140" i="4"/>
  <c r="M140" i="4"/>
  <c r="N139" i="4"/>
  <c r="O138" i="4"/>
  <c r="P136" i="4"/>
  <c r="M136" i="4"/>
  <c r="N135" i="4"/>
  <c r="O134" i="4"/>
  <c r="K141" i="4"/>
  <c r="L139" i="4"/>
  <c r="I139" i="4"/>
  <c r="J138" i="4"/>
  <c r="K137" i="4"/>
  <c r="L135" i="4"/>
  <c r="I135" i="4"/>
  <c r="J134" i="4"/>
  <c r="D135" i="4"/>
  <c r="C136" i="4"/>
  <c r="C140" i="4"/>
  <c r="B135" i="4"/>
  <c r="F135" i="4"/>
  <c r="B138" i="4"/>
  <c r="D139" i="4"/>
  <c r="F139" i="4"/>
  <c r="B141" i="4"/>
  <c r="C137" i="4"/>
  <c r="D136" i="4"/>
  <c r="F136" i="4"/>
  <c r="B137" i="4"/>
  <c r="C141" i="4"/>
  <c r="D140" i="4"/>
  <c r="F140" i="4"/>
  <c r="B139" i="4"/>
  <c r="C135" i="4"/>
  <c r="C139" i="4"/>
  <c r="D134" i="4"/>
  <c r="D138" i="4"/>
  <c r="F134" i="4"/>
  <c r="F138" i="4"/>
  <c r="B140" i="4"/>
  <c r="B136" i="4"/>
  <c r="C138" i="4"/>
  <c r="C134" i="4"/>
  <c r="D137" i="4"/>
  <c r="D141" i="4"/>
  <c r="F137" i="4"/>
  <c r="B12" i="33"/>
  <c r="I21" i="28" l="1"/>
  <c r="H21" i="28"/>
  <c r="B12" i="1"/>
  <c r="B12" i="39"/>
  <c r="B12" i="37"/>
  <c r="B12" i="8"/>
  <c r="B12" i="9"/>
  <c r="B61" i="9"/>
  <c r="B61" i="37" l="1"/>
  <c r="B61" i="39"/>
  <c r="D13" i="8"/>
  <c r="D14" i="8"/>
  <c r="A75" i="4" l="1"/>
  <c r="A74" i="4"/>
  <c r="A30" i="28"/>
  <c r="L50" i="28" s="1"/>
  <c r="A29" i="28"/>
  <c r="L49" i="28" s="1"/>
  <c r="A28" i="28"/>
  <c r="L48" i="28" s="1"/>
  <c r="A27" i="28"/>
  <c r="L47" i="28" s="1"/>
  <c r="A26" i="28"/>
  <c r="A46" i="28" s="1"/>
  <c r="A23" i="28"/>
  <c r="C32" i="28"/>
  <c r="D32" i="28"/>
  <c r="H32" i="28"/>
  <c r="J32" i="28"/>
  <c r="N32" i="28"/>
  <c r="O32" i="28"/>
  <c r="P32" i="28"/>
  <c r="U32" i="28"/>
  <c r="E1" i="21"/>
  <c r="J1" i="9"/>
  <c r="L26" i="28" l="1"/>
  <c r="A50" i="28"/>
  <c r="L30" i="28"/>
  <c r="L46" i="28"/>
  <c r="L29" i="28"/>
  <c r="A49" i="28"/>
  <c r="L28" i="28"/>
  <c r="A48" i="28"/>
  <c r="L27" i="28"/>
  <c r="A47" i="28"/>
  <c r="L4" i="26"/>
  <c r="L3" i="26"/>
  <c r="K1" i="26"/>
  <c r="F5" i="2" l="1"/>
  <c r="A178" i="4" l="1"/>
  <c r="A177" i="4"/>
  <c r="A176" i="4"/>
  <c r="A128" i="4"/>
  <c r="A126" i="4"/>
  <c r="C44" i="28"/>
  <c r="N44" i="28"/>
  <c r="N23" i="28"/>
  <c r="C23" i="28"/>
  <c r="L23" i="28"/>
  <c r="N1" i="28"/>
  <c r="P4" i="28"/>
  <c r="P3" i="28"/>
  <c r="L7" i="28"/>
  <c r="C6" i="28"/>
  <c r="C5" i="28"/>
  <c r="C4" i="28"/>
  <c r="C3" i="28"/>
  <c r="S44" i="28" l="1"/>
  <c r="T44" i="28"/>
  <c r="U44" i="28"/>
  <c r="T23" i="28"/>
  <c r="S23" i="28"/>
  <c r="U23" i="28"/>
  <c r="H44" i="28"/>
  <c r="I44" i="28"/>
  <c r="J44" i="28"/>
  <c r="H23" i="28"/>
  <c r="I23" i="28"/>
  <c r="L9" i="28"/>
  <c r="L8" i="28"/>
  <c r="L44" i="28"/>
  <c r="A44" i="28"/>
  <c r="D23" i="28"/>
  <c r="D21" i="28"/>
  <c r="B42" i="2"/>
  <c r="A123" i="4"/>
  <c r="D42" i="28" l="1"/>
  <c r="O42" i="28" s="1"/>
  <c r="O21" i="28"/>
  <c r="D44" i="28"/>
  <c r="O44" i="28" s="1"/>
  <c r="O23" i="28"/>
  <c r="G4" i="21"/>
  <c r="G3" i="21"/>
  <c r="C6" i="21"/>
  <c r="R14" i="8"/>
  <c r="S14" i="8"/>
  <c r="R15" i="8"/>
  <c r="S15" i="8"/>
  <c r="R16" i="8"/>
  <c r="S16" i="8"/>
  <c r="R17" i="8"/>
  <c r="S17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Q14" i="8"/>
  <c r="T14" i="8" s="1"/>
  <c r="Q15" i="8"/>
  <c r="Q16" i="8"/>
  <c r="Q17" i="8"/>
  <c r="Q19" i="8"/>
  <c r="Q20" i="8"/>
  <c r="T20" i="8" s="1"/>
  <c r="Q21" i="8"/>
  <c r="T21" i="8" s="1"/>
  <c r="Q22" i="8"/>
  <c r="T22" i="8" s="1"/>
  <c r="Q23" i="8"/>
  <c r="T23" i="8" s="1"/>
  <c r="Q24" i="8"/>
  <c r="Q25" i="8"/>
  <c r="Q26" i="8"/>
  <c r="Q27" i="8"/>
  <c r="Q28" i="8"/>
  <c r="T28" i="8" s="1"/>
  <c r="Q29" i="8"/>
  <c r="T29" i="8" s="1"/>
  <c r="Q30" i="8"/>
  <c r="T30" i="8" s="1"/>
  <c r="Q31" i="8"/>
  <c r="T31" i="8" s="1"/>
  <c r="Q32" i="8"/>
  <c r="Q33" i="8"/>
  <c r="Q34" i="8"/>
  <c r="Q35" i="8"/>
  <c r="Q36" i="8"/>
  <c r="T36" i="8" s="1"/>
  <c r="Q37" i="8"/>
  <c r="T37" i="8" s="1"/>
  <c r="Q38" i="8"/>
  <c r="T38" i="8" s="1"/>
  <c r="Q39" i="8"/>
  <c r="T39" i="8" s="1"/>
  <c r="Q40" i="8"/>
  <c r="Q41" i="8"/>
  <c r="Q42" i="8"/>
  <c r="Q43" i="8"/>
  <c r="Q44" i="8"/>
  <c r="T44" i="8" s="1"/>
  <c r="Q45" i="8"/>
  <c r="T45" i="8" s="1"/>
  <c r="Q46" i="8"/>
  <c r="T46" i="8" s="1"/>
  <c r="Q47" i="8"/>
  <c r="T47" i="8" s="1"/>
  <c r="Q48" i="8"/>
  <c r="Q49" i="8"/>
  <c r="Q50" i="8"/>
  <c r="Q51" i="8"/>
  <c r="Q52" i="8"/>
  <c r="T52" i="8" s="1"/>
  <c r="Q53" i="8"/>
  <c r="T53" i="8" s="1"/>
  <c r="Q54" i="8"/>
  <c r="T54" i="8" s="1"/>
  <c r="Q55" i="8"/>
  <c r="T55" i="8" s="1"/>
  <c r="Q56" i="8"/>
  <c r="Q57" i="8"/>
  <c r="Q58" i="8"/>
  <c r="Q59" i="8"/>
  <c r="Q60" i="8"/>
  <c r="T60" i="8" s="1"/>
  <c r="Q61" i="8"/>
  <c r="T61" i="8" s="1"/>
  <c r="Q13" i="8"/>
  <c r="T27" i="8" l="1"/>
  <c r="T34" i="8"/>
  <c r="T59" i="8"/>
  <c r="T43" i="8"/>
  <c r="T50" i="8"/>
  <c r="T49" i="8"/>
  <c r="T51" i="8"/>
  <c r="T35" i="8"/>
  <c r="T19" i="8"/>
  <c r="T58" i="8"/>
  <c r="T42" i="8"/>
  <c r="T26" i="8"/>
  <c r="T17" i="8"/>
  <c r="T57" i="8"/>
  <c r="T41" i="8"/>
  <c r="T33" i="8"/>
  <c r="T25" i="8"/>
  <c r="T16" i="8"/>
  <c r="T56" i="8"/>
  <c r="T48" i="8"/>
  <c r="T40" i="8"/>
  <c r="T32" i="8"/>
  <c r="T24" i="8"/>
  <c r="T15" i="8"/>
  <c r="T13" i="8"/>
  <c r="A36" i="2"/>
  <c r="C4" i="1"/>
  <c r="C7" i="9"/>
  <c r="C6" i="9"/>
  <c r="C5" i="9"/>
  <c r="C4" i="9"/>
  <c r="C3" i="9"/>
  <c r="I4" i="1"/>
  <c r="I3" i="1"/>
  <c r="I5" i="9"/>
  <c r="I4" i="9"/>
  <c r="K1" i="8"/>
  <c r="A40" i="2" l="1"/>
  <c r="A38" i="2"/>
  <c r="M4" i="8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A52" i="42" s="1"/>
  <c r="B65" i="33"/>
  <c r="B65" i="8" s="1"/>
  <c r="E63" i="33"/>
  <c r="G63" i="9" s="1"/>
  <c r="B62" i="33"/>
  <c r="B19" i="4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A10" i="33"/>
  <c r="A10" i="8" s="1"/>
  <c r="A169" i="4"/>
  <c r="A168" i="4"/>
  <c r="A167" i="4"/>
  <c r="A166" i="4"/>
  <c r="A165" i="4"/>
  <c r="A164" i="4"/>
  <c r="A163" i="4"/>
  <c r="A162" i="4"/>
  <c r="A161" i="4"/>
  <c r="A33" i="2"/>
  <c r="A32" i="2"/>
  <c r="A31" i="2"/>
  <c r="A30" i="2"/>
  <c r="A29" i="2"/>
  <c r="A28" i="2"/>
  <c r="A6" i="2"/>
  <c r="A158" i="4"/>
  <c r="A157" i="4"/>
  <c r="A156" i="4"/>
  <c r="A27" i="2"/>
  <c r="A25" i="2"/>
  <c r="B52" i="41" l="1"/>
  <c r="B35" i="41"/>
  <c r="A5" i="41"/>
  <c r="A6" i="39"/>
  <c r="A6" i="37"/>
  <c r="A10" i="37"/>
  <c r="A10" i="39"/>
  <c r="B60" i="21"/>
  <c r="B62" i="37"/>
  <c r="B62" i="39"/>
  <c r="B67" i="1"/>
  <c r="B67" i="39"/>
  <c r="B67" i="37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6" i="42" s="1"/>
  <c r="A22" i="2"/>
  <c r="A5" i="42" s="1"/>
  <c r="A7" i="2"/>
  <c r="A8" i="2" s="1"/>
  <c r="A5" i="2"/>
  <c r="A4" i="42" s="1"/>
  <c r="A4" i="2"/>
  <c r="A3" i="42" s="1"/>
  <c r="H5" i="2"/>
  <c r="O4" i="42" s="1"/>
  <c r="H4" i="2"/>
  <c r="O3" i="42" s="1"/>
  <c r="B1" i="2"/>
  <c r="G1" i="2"/>
  <c r="L1" i="42" s="1"/>
  <c r="A26" i="2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A4" i="41" l="1"/>
  <c r="A5" i="39"/>
  <c r="A5" i="37"/>
  <c r="D22" i="41"/>
  <c r="C22" i="41"/>
  <c r="F22" i="41"/>
  <c r="E22" i="41"/>
  <c r="Q64" i="39"/>
  <c r="L64" i="39"/>
  <c r="G64" i="39"/>
  <c r="T64" i="37"/>
  <c r="O64" i="37"/>
  <c r="J64" i="37"/>
  <c r="R64" i="39"/>
  <c r="M64" i="39"/>
  <c r="H64" i="39"/>
  <c r="Q64" i="37"/>
  <c r="L64" i="37"/>
  <c r="G64" i="37"/>
  <c r="T64" i="39"/>
  <c r="J64" i="39"/>
  <c r="M64" i="37"/>
  <c r="S64" i="39"/>
  <c r="I64" i="39"/>
  <c r="S64" i="37"/>
  <c r="I64" i="37"/>
  <c r="O64" i="39"/>
  <c r="R64" i="37"/>
  <c r="H64" i="37"/>
  <c r="N64" i="39"/>
  <c r="N64" i="37"/>
  <c r="H4" i="41"/>
  <c r="H3" i="39"/>
  <c r="H3" i="37"/>
  <c r="H5" i="41"/>
  <c r="H4" i="39"/>
  <c r="H4" i="37"/>
  <c r="A6" i="41"/>
  <c r="A7" i="39"/>
  <c r="A7" i="37"/>
  <c r="A11" i="37"/>
  <c r="A11" i="39"/>
  <c r="G1" i="41"/>
  <c r="D1" i="37"/>
  <c r="D1" i="39"/>
  <c r="A3" i="41"/>
  <c r="A4" i="39"/>
  <c r="A4" i="37"/>
  <c r="A8" i="39"/>
  <c r="A8" i="37"/>
  <c r="Q64" i="1"/>
  <c r="R64" i="1"/>
  <c r="S64" i="1"/>
  <c r="T64" i="1"/>
  <c r="O64" i="1"/>
  <c r="H4" i="1"/>
  <c r="D1" i="1"/>
  <c r="L64" i="1"/>
  <c r="G64" i="1"/>
  <c r="H64" i="1"/>
  <c r="J64" i="1"/>
  <c r="N64" i="1"/>
  <c r="I64" i="1"/>
  <c r="M64" i="1"/>
  <c r="K3" i="26"/>
  <c r="K4" i="26"/>
  <c r="C1" i="21"/>
  <c r="L1" i="28"/>
  <c r="A3" i="28"/>
  <c r="A4" i="28"/>
  <c r="A6" i="28"/>
  <c r="F3" i="21"/>
  <c r="O3" i="28"/>
  <c r="F4" i="21"/>
  <c r="O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I1" i="8"/>
  <c r="A4" i="33"/>
  <c r="A4" i="8"/>
  <c r="A5" i="33"/>
  <c r="A5" i="8"/>
  <c r="A8" i="33"/>
  <c r="A8" i="8"/>
  <c r="D15" i="8"/>
  <c r="D16" i="8"/>
  <c r="D17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M17" i="9"/>
  <c r="N17" i="9"/>
  <c r="O17" i="9"/>
  <c r="P17" i="9"/>
  <c r="M18" i="9"/>
  <c r="N18" i="9"/>
  <c r="O18" i="9"/>
  <c r="P18" i="9"/>
  <c r="M19" i="9"/>
  <c r="N19" i="9"/>
  <c r="O19" i="9"/>
  <c r="P19" i="9"/>
  <c r="M20" i="9"/>
  <c r="N20" i="9"/>
  <c r="O20" i="9"/>
  <c r="P20" i="9"/>
  <c r="M21" i="9"/>
  <c r="N21" i="9"/>
  <c r="O21" i="9"/>
  <c r="P21" i="9"/>
  <c r="M22" i="9"/>
  <c r="N22" i="9"/>
  <c r="O22" i="9"/>
  <c r="P22" i="9"/>
  <c r="M23" i="9"/>
  <c r="N23" i="9"/>
  <c r="O23" i="9"/>
  <c r="P23" i="9"/>
  <c r="M24" i="9"/>
  <c r="N24" i="9"/>
  <c r="O24" i="9"/>
  <c r="P24" i="9"/>
  <c r="M25" i="9"/>
  <c r="N25" i="9"/>
  <c r="O25" i="9"/>
  <c r="P25" i="9"/>
  <c r="M26" i="9"/>
  <c r="N26" i="9"/>
  <c r="O26" i="9"/>
  <c r="P26" i="9"/>
  <c r="M27" i="9"/>
  <c r="N27" i="9"/>
  <c r="O27" i="9"/>
  <c r="P27" i="9"/>
  <c r="M28" i="9"/>
  <c r="N28" i="9"/>
  <c r="O28" i="9"/>
  <c r="P28" i="9"/>
  <c r="M29" i="9"/>
  <c r="N29" i="9"/>
  <c r="O29" i="9"/>
  <c r="P29" i="9"/>
  <c r="M30" i="9"/>
  <c r="N30" i="9"/>
  <c r="O30" i="9"/>
  <c r="P30" i="9"/>
  <c r="M31" i="9"/>
  <c r="N31" i="9"/>
  <c r="O31" i="9"/>
  <c r="P31" i="9"/>
  <c r="M32" i="9"/>
  <c r="N32" i="9"/>
  <c r="O32" i="9"/>
  <c r="P32" i="9"/>
  <c r="M33" i="9"/>
  <c r="N33" i="9"/>
  <c r="O33" i="9"/>
  <c r="P33" i="9"/>
  <c r="M34" i="9"/>
  <c r="N34" i="9"/>
  <c r="O34" i="9"/>
  <c r="P34" i="9"/>
  <c r="M35" i="9"/>
  <c r="N35" i="9"/>
  <c r="O35" i="9"/>
  <c r="P35" i="9"/>
  <c r="M36" i="9"/>
  <c r="N36" i="9"/>
  <c r="O36" i="9"/>
  <c r="P36" i="9"/>
  <c r="M37" i="9"/>
  <c r="N37" i="9"/>
  <c r="O37" i="9"/>
  <c r="P37" i="9"/>
  <c r="M38" i="9"/>
  <c r="N38" i="9"/>
  <c r="O38" i="9"/>
  <c r="P38" i="9"/>
  <c r="M39" i="9"/>
  <c r="N39" i="9"/>
  <c r="O39" i="9"/>
  <c r="P39" i="9"/>
  <c r="M40" i="9"/>
  <c r="N40" i="9"/>
  <c r="O40" i="9"/>
  <c r="P40" i="9"/>
  <c r="M41" i="9"/>
  <c r="N41" i="9"/>
  <c r="O41" i="9"/>
  <c r="P41" i="9"/>
  <c r="M42" i="9"/>
  <c r="N42" i="9"/>
  <c r="O42" i="9"/>
  <c r="P42" i="9"/>
  <c r="M43" i="9"/>
  <c r="N43" i="9"/>
  <c r="O43" i="9"/>
  <c r="P43" i="9"/>
  <c r="M44" i="9"/>
  <c r="N44" i="9"/>
  <c r="O44" i="9"/>
  <c r="P44" i="9"/>
  <c r="M45" i="9"/>
  <c r="N45" i="9"/>
  <c r="O45" i="9"/>
  <c r="P45" i="9"/>
  <c r="M46" i="9"/>
  <c r="N46" i="9"/>
  <c r="O46" i="9"/>
  <c r="P46" i="9"/>
  <c r="M47" i="9"/>
  <c r="N47" i="9"/>
  <c r="O47" i="9"/>
  <c r="P47" i="9"/>
  <c r="M48" i="9"/>
  <c r="N48" i="9"/>
  <c r="O48" i="9"/>
  <c r="P48" i="9"/>
  <c r="M49" i="9"/>
  <c r="N49" i="9"/>
  <c r="O49" i="9"/>
  <c r="P49" i="9"/>
  <c r="M50" i="9"/>
  <c r="N50" i="9"/>
  <c r="O50" i="9"/>
  <c r="P50" i="9"/>
  <c r="M51" i="9"/>
  <c r="N51" i="9"/>
  <c r="O51" i="9"/>
  <c r="P51" i="9"/>
  <c r="M52" i="9"/>
  <c r="N52" i="9"/>
  <c r="O52" i="9"/>
  <c r="P52" i="9"/>
  <c r="M53" i="9"/>
  <c r="N53" i="9"/>
  <c r="O53" i="9"/>
  <c r="P53" i="9"/>
  <c r="M54" i="9"/>
  <c r="N54" i="9"/>
  <c r="O54" i="9"/>
  <c r="P54" i="9"/>
  <c r="M55" i="9"/>
  <c r="N55" i="9"/>
  <c r="O55" i="9"/>
  <c r="P55" i="9"/>
  <c r="M56" i="9"/>
  <c r="N56" i="9"/>
  <c r="O56" i="9"/>
  <c r="P56" i="9"/>
  <c r="M57" i="9"/>
  <c r="N57" i="9"/>
  <c r="O57" i="9"/>
  <c r="P57" i="9"/>
  <c r="M58" i="9"/>
  <c r="N58" i="9"/>
  <c r="O58" i="9"/>
  <c r="P58" i="9"/>
  <c r="M59" i="9"/>
  <c r="N59" i="9"/>
  <c r="O59" i="9"/>
  <c r="P59" i="9"/>
  <c r="M60" i="9"/>
  <c r="N60" i="9"/>
  <c r="O60" i="9"/>
  <c r="P60" i="9"/>
  <c r="M61" i="9"/>
  <c r="N61" i="9"/>
  <c r="O61" i="9"/>
  <c r="P61" i="9"/>
  <c r="M14" i="9"/>
  <c r="N14" i="9"/>
  <c r="O14" i="9"/>
  <c r="P14" i="9"/>
  <c r="M15" i="9"/>
  <c r="N15" i="9"/>
  <c r="O15" i="9"/>
  <c r="P15" i="9"/>
  <c r="P13" i="9"/>
  <c r="O13" i="9"/>
  <c r="N13" i="9"/>
  <c r="M13" i="9"/>
  <c r="H61" i="39" l="1"/>
  <c r="H61" i="37"/>
  <c r="R61" i="39"/>
  <c r="M61" i="37"/>
  <c r="M61" i="39"/>
  <c r="R61" i="37"/>
  <c r="E15" i="39"/>
  <c r="E15" i="1"/>
  <c r="E15" i="37"/>
  <c r="E14" i="37"/>
  <c r="E14" i="39"/>
  <c r="E14" i="1"/>
  <c r="E61" i="1"/>
  <c r="E61" i="37"/>
  <c r="E61" i="39"/>
  <c r="E60" i="39"/>
  <c r="E60" i="37"/>
  <c r="E60" i="1"/>
  <c r="E59" i="37"/>
  <c r="E59" i="1"/>
  <c r="E59" i="39"/>
  <c r="E58" i="39"/>
  <c r="E58" i="37"/>
  <c r="E58" i="1"/>
  <c r="E57" i="39"/>
  <c r="E57" i="37"/>
  <c r="E57" i="1"/>
  <c r="E56" i="39"/>
  <c r="E56" i="37"/>
  <c r="E56" i="1"/>
  <c r="E55" i="39"/>
  <c r="E55" i="1"/>
  <c r="E55" i="37"/>
  <c r="E54" i="37"/>
  <c r="E54" i="39"/>
  <c r="E54" i="1"/>
  <c r="E53" i="39"/>
  <c r="E53" i="1"/>
  <c r="E53" i="37"/>
  <c r="E52" i="39"/>
  <c r="E52" i="37"/>
  <c r="E52" i="1"/>
  <c r="E51" i="39"/>
  <c r="E51" i="37"/>
  <c r="E51" i="1"/>
  <c r="E50" i="39"/>
  <c r="E50" i="37"/>
  <c r="E50" i="1"/>
  <c r="E49" i="39"/>
  <c r="E49" i="37"/>
  <c r="E49" i="1"/>
  <c r="E48" i="39"/>
  <c r="E48" i="37"/>
  <c r="E48" i="1"/>
  <c r="E47" i="37"/>
  <c r="E47" i="39"/>
  <c r="E47" i="1"/>
  <c r="E46" i="37"/>
  <c r="E46" i="39"/>
  <c r="E46" i="1"/>
  <c r="E45" i="37"/>
  <c r="E45" i="39"/>
  <c r="E45" i="1"/>
  <c r="E44" i="37"/>
  <c r="E44" i="39"/>
  <c r="E44" i="1"/>
  <c r="E43" i="37"/>
  <c r="E43" i="39"/>
  <c r="E43" i="1"/>
  <c r="E42" i="39"/>
  <c r="E42" i="37"/>
  <c r="E42" i="1"/>
  <c r="E41" i="39"/>
  <c r="E41" i="1"/>
  <c r="E41" i="37"/>
  <c r="E40" i="37"/>
  <c r="E40" i="39"/>
  <c r="E40" i="1"/>
  <c r="E39" i="37"/>
  <c r="E39" i="1"/>
  <c r="E39" i="39"/>
  <c r="E38" i="39"/>
  <c r="E38" i="37"/>
  <c r="E38" i="1"/>
  <c r="E37" i="37"/>
  <c r="E37" i="39"/>
  <c r="E37" i="1"/>
  <c r="E36" i="39"/>
  <c r="E36" i="37"/>
  <c r="E36" i="1"/>
  <c r="E35" i="37"/>
  <c r="E35" i="39"/>
  <c r="E35" i="1"/>
  <c r="E34" i="39"/>
  <c r="E34" i="37"/>
  <c r="E34" i="1"/>
  <c r="E33" i="39"/>
  <c r="E33" i="1"/>
  <c r="E33" i="37"/>
  <c r="E32" i="39"/>
  <c r="E32" i="37"/>
  <c r="E32" i="1"/>
  <c r="E31" i="39"/>
  <c r="E31" i="1"/>
  <c r="E31" i="37"/>
  <c r="E30" i="39"/>
  <c r="E30" i="37"/>
  <c r="E30" i="1"/>
  <c r="E29" i="37"/>
  <c r="E29" i="39"/>
  <c r="E29" i="1"/>
  <c r="E28" i="39"/>
  <c r="E28" i="37"/>
  <c r="E28" i="1"/>
  <c r="E27" i="1"/>
  <c r="E27" i="39"/>
  <c r="E27" i="37"/>
  <c r="E26" i="39"/>
  <c r="E26" i="37"/>
  <c r="E26" i="1"/>
  <c r="E25" i="37"/>
  <c r="E25" i="39"/>
  <c r="E25" i="1"/>
  <c r="E24" i="39"/>
  <c r="E24" i="37"/>
  <c r="E24" i="1"/>
  <c r="E23" i="39"/>
  <c r="E23" i="1"/>
  <c r="E23" i="37"/>
  <c r="E22" i="37"/>
  <c r="E22" i="39"/>
  <c r="E22" i="1"/>
  <c r="E21" i="39"/>
  <c r="E21" i="37"/>
  <c r="E21" i="1"/>
  <c r="E20" i="37"/>
  <c r="E20" i="39"/>
  <c r="E20" i="1"/>
  <c r="E19" i="1"/>
  <c r="E19" i="39"/>
  <c r="E19" i="37"/>
  <c r="E17" i="39"/>
  <c r="E17" i="1"/>
  <c r="E17" i="37"/>
  <c r="E16" i="37"/>
  <c r="E16" i="39"/>
  <c r="E16" i="1"/>
  <c r="B12" i="2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S61" i="37" l="1"/>
  <c r="S61" i="39"/>
  <c r="I61" i="39"/>
  <c r="N61" i="37"/>
  <c r="N61" i="39"/>
  <c r="I61" i="37"/>
  <c r="A17" i="4"/>
  <c r="A22" i="4"/>
  <c r="A16" i="4"/>
  <c r="P10" i="8"/>
  <c r="U11" i="8"/>
  <c r="U10" i="8"/>
  <c r="J10" i="1" l="1"/>
  <c r="J10" i="37"/>
  <c r="O10" i="37" s="1"/>
  <c r="T10" i="37" s="1"/>
  <c r="J10" i="39"/>
  <c r="O10" i="39" s="1"/>
  <c r="T10" i="39" s="1"/>
  <c r="A99" i="4"/>
  <c r="L11" i="9"/>
  <c r="L10" i="9"/>
  <c r="Q11" i="9" s="1"/>
  <c r="O10" i="8"/>
  <c r="B14" i="9"/>
  <c r="B14" i="39" l="1"/>
  <c r="B14" i="37"/>
  <c r="O10" i="1"/>
  <c r="T10" i="1" s="1"/>
  <c r="F10" i="41"/>
  <c r="N26" i="41" l="1"/>
  <c r="F26" i="41"/>
  <c r="J43" i="41"/>
  <c r="J10" i="41"/>
  <c r="J26" i="41"/>
  <c r="F43" i="41"/>
  <c r="N43" i="41"/>
  <c r="N10" i="41"/>
  <c r="A96" i="4"/>
  <c r="A95" i="4"/>
  <c r="C21" i="28"/>
  <c r="D15" i="28"/>
  <c r="O15" i="28" s="1"/>
  <c r="O36" i="28" s="1"/>
  <c r="C15" i="28"/>
  <c r="C36" i="28" s="1"/>
  <c r="B15" i="28"/>
  <c r="B36" i="28" s="1"/>
  <c r="A15" i="28"/>
  <c r="A36" i="28" s="1"/>
  <c r="A12" i="28"/>
  <c r="A13" i="28"/>
  <c r="A34" i="28" s="1"/>
  <c r="N11" i="28"/>
  <c r="U11" i="28"/>
  <c r="P11" i="28"/>
  <c r="O11" i="28"/>
  <c r="C11" i="28"/>
  <c r="J11" i="28"/>
  <c r="H11" i="28"/>
  <c r="D11" i="28"/>
  <c r="C42" i="28" l="1"/>
  <c r="N42" i="28" s="1"/>
  <c r="N21" i="28"/>
  <c r="L12" i="28"/>
  <c r="L33" i="28" s="1"/>
  <c r="A33" i="28"/>
  <c r="N15" i="28"/>
  <c r="N36" i="28" s="1"/>
  <c r="L15" i="28"/>
  <c r="L36" i="28" s="1"/>
  <c r="L13" i="28"/>
  <c r="L34" i="28" s="1"/>
  <c r="M15" i="28"/>
  <c r="M36" i="28" s="1"/>
  <c r="D36" i="28"/>
  <c r="J21" i="28" l="1"/>
  <c r="J23" i="28" s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N63" i="1" l="1"/>
  <c r="S63" i="1" s="1"/>
  <c r="E20" i="41"/>
  <c r="J11" i="8"/>
  <c r="D25" i="2" s="1"/>
  <c r="M53" i="41" l="1"/>
  <c r="I53" i="41"/>
  <c r="E53" i="41"/>
  <c r="M36" i="41"/>
  <c r="I36" i="41"/>
  <c r="E36" i="41"/>
  <c r="M20" i="41"/>
  <c r="I20" i="41"/>
  <c r="G12" i="9"/>
  <c r="H63" i="1"/>
  <c r="I10" i="1"/>
  <c r="E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C12" i="37" l="1"/>
  <c r="C12" i="39"/>
  <c r="C56" i="37"/>
  <c r="D56" i="37" s="1"/>
  <c r="C56" i="39"/>
  <c r="D56" i="39" s="1"/>
  <c r="C48" i="37"/>
  <c r="D48" i="37" s="1"/>
  <c r="C48" i="39"/>
  <c r="D48" i="39" s="1"/>
  <c r="C44" i="37"/>
  <c r="D44" i="37" s="1"/>
  <c r="C44" i="39"/>
  <c r="D44" i="39" s="1"/>
  <c r="C36" i="37"/>
  <c r="D36" i="37" s="1"/>
  <c r="C36" i="39"/>
  <c r="D36" i="39" s="1"/>
  <c r="C28" i="37"/>
  <c r="D28" i="37" s="1"/>
  <c r="C28" i="39"/>
  <c r="D28" i="39" s="1"/>
  <c r="C20" i="39"/>
  <c r="D20" i="39" s="1"/>
  <c r="C20" i="37"/>
  <c r="D20" i="37" s="1"/>
  <c r="C59" i="37"/>
  <c r="D59" i="37" s="1"/>
  <c r="C59" i="39"/>
  <c r="D59" i="39" s="1"/>
  <c r="C51" i="39"/>
  <c r="D51" i="39" s="1"/>
  <c r="C51" i="37"/>
  <c r="D51" i="37" s="1"/>
  <c r="C43" i="37"/>
  <c r="D43" i="37" s="1"/>
  <c r="C43" i="39"/>
  <c r="D43" i="39" s="1"/>
  <c r="C35" i="39"/>
  <c r="D35" i="39" s="1"/>
  <c r="C35" i="37"/>
  <c r="D35" i="37" s="1"/>
  <c r="C27" i="39"/>
  <c r="D27" i="39" s="1"/>
  <c r="C27" i="37"/>
  <c r="D27" i="37" s="1"/>
  <c r="C15" i="39"/>
  <c r="D15" i="39" s="1"/>
  <c r="C15" i="37"/>
  <c r="D15" i="37" s="1"/>
  <c r="C61" i="39"/>
  <c r="D61" i="39" s="1"/>
  <c r="C61" i="37"/>
  <c r="D61" i="37" s="1"/>
  <c r="C57" i="39"/>
  <c r="D57" i="39" s="1"/>
  <c r="C57" i="37"/>
  <c r="D57" i="37" s="1"/>
  <c r="C53" i="37"/>
  <c r="D53" i="37" s="1"/>
  <c r="C53" i="39"/>
  <c r="D53" i="39" s="1"/>
  <c r="C49" i="37"/>
  <c r="D49" i="37" s="1"/>
  <c r="C49" i="39"/>
  <c r="D49" i="39" s="1"/>
  <c r="C45" i="39"/>
  <c r="D45" i="39" s="1"/>
  <c r="C45" i="37"/>
  <c r="D45" i="37" s="1"/>
  <c r="C41" i="37"/>
  <c r="D41" i="37" s="1"/>
  <c r="C41" i="39"/>
  <c r="D41" i="39" s="1"/>
  <c r="C37" i="37"/>
  <c r="D37" i="37" s="1"/>
  <c r="C37" i="39"/>
  <c r="D37" i="39" s="1"/>
  <c r="C33" i="39"/>
  <c r="D33" i="39" s="1"/>
  <c r="C33" i="37"/>
  <c r="D33" i="37" s="1"/>
  <c r="C29" i="37"/>
  <c r="D29" i="37" s="1"/>
  <c r="C29" i="39"/>
  <c r="D29" i="39" s="1"/>
  <c r="C25" i="39"/>
  <c r="D25" i="39" s="1"/>
  <c r="C25" i="37"/>
  <c r="D25" i="37" s="1"/>
  <c r="C21" i="39"/>
  <c r="D21" i="39" s="1"/>
  <c r="C21" i="37"/>
  <c r="D21" i="37" s="1"/>
  <c r="C17" i="37"/>
  <c r="D17" i="37" s="1"/>
  <c r="C17" i="39"/>
  <c r="D17" i="39" s="1"/>
  <c r="C60" i="37"/>
  <c r="D60" i="37" s="1"/>
  <c r="C60" i="39"/>
  <c r="D60" i="39" s="1"/>
  <c r="C52" i="39"/>
  <c r="D52" i="39" s="1"/>
  <c r="C52" i="37"/>
  <c r="D52" i="37" s="1"/>
  <c r="C40" i="39"/>
  <c r="D40" i="39" s="1"/>
  <c r="C40" i="37"/>
  <c r="D40" i="37" s="1"/>
  <c r="C32" i="39"/>
  <c r="D32" i="39" s="1"/>
  <c r="C32" i="37"/>
  <c r="D32" i="37" s="1"/>
  <c r="C24" i="39"/>
  <c r="D24" i="39" s="1"/>
  <c r="C24" i="37"/>
  <c r="D24" i="37" s="1"/>
  <c r="C16" i="39"/>
  <c r="D16" i="39" s="1"/>
  <c r="C16" i="37"/>
  <c r="D16" i="37" s="1"/>
  <c r="C55" i="39"/>
  <c r="D55" i="39" s="1"/>
  <c r="C55" i="37"/>
  <c r="D55" i="37" s="1"/>
  <c r="C47" i="37"/>
  <c r="D47" i="37" s="1"/>
  <c r="C47" i="39"/>
  <c r="D47" i="39" s="1"/>
  <c r="C39" i="37"/>
  <c r="D39" i="37" s="1"/>
  <c r="C39" i="39"/>
  <c r="D39" i="39" s="1"/>
  <c r="C31" i="39"/>
  <c r="D31" i="39" s="1"/>
  <c r="C31" i="37"/>
  <c r="D31" i="37" s="1"/>
  <c r="C23" i="39"/>
  <c r="D23" i="39" s="1"/>
  <c r="C23" i="37"/>
  <c r="D23" i="37" s="1"/>
  <c r="C19" i="39"/>
  <c r="D19" i="39" s="1"/>
  <c r="C19" i="37"/>
  <c r="D19" i="37" s="1"/>
  <c r="C13" i="37"/>
  <c r="C13" i="39"/>
  <c r="C58" i="39"/>
  <c r="D58" i="39" s="1"/>
  <c r="C58" i="37"/>
  <c r="D58" i="37" s="1"/>
  <c r="C54" i="37"/>
  <c r="D54" i="37" s="1"/>
  <c r="C54" i="39"/>
  <c r="D54" i="39" s="1"/>
  <c r="C50" i="37"/>
  <c r="D50" i="37" s="1"/>
  <c r="C50" i="39"/>
  <c r="D50" i="39" s="1"/>
  <c r="C46" i="37"/>
  <c r="D46" i="37" s="1"/>
  <c r="C46" i="39"/>
  <c r="D46" i="39" s="1"/>
  <c r="C42" i="37"/>
  <c r="D42" i="37" s="1"/>
  <c r="C42" i="39"/>
  <c r="D42" i="39" s="1"/>
  <c r="C38" i="39"/>
  <c r="D38" i="39" s="1"/>
  <c r="C38" i="37"/>
  <c r="D38" i="37" s="1"/>
  <c r="C34" i="37"/>
  <c r="D34" i="37" s="1"/>
  <c r="C34" i="39"/>
  <c r="D34" i="39" s="1"/>
  <c r="C30" i="37"/>
  <c r="D30" i="37" s="1"/>
  <c r="C30" i="39"/>
  <c r="D30" i="39" s="1"/>
  <c r="C26" i="39"/>
  <c r="D26" i="39" s="1"/>
  <c r="C26" i="37"/>
  <c r="D26" i="37" s="1"/>
  <c r="C22" i="37"/>
  <c r="D22" i="37" s="1"/>
  <c r="C22" i="39"/>
  <c r="D22" i="39" s="1"/>
  <c r="C18" i="37"/>
  <c r="C18" i="39"/>
  <c r="C14" i="39"/>
  <c r="C14" i="37"/>
  <c r="N10" i="1"/>
  <c r="S10" i="1" s="1"/>
  <c r="E10" i="41"/>
  <c r="M63" i="1"/>
  <c r="R63" i="1" s="1"/>
  <c r="D20" i="41"/>
  <c r="H10" i="1"/>
  <c r="E63" i="1"/>
  <c r="D63" i="1"/>
  <c r="D10" i="1"/>
  <c r="A54" i="4"/>
  <c r="L11" i="8"/>
  <c r="D18" i="39" l="1"/>
  <c r="E18" i="39"/>
  <c r="D18" i="37"/>
  <c r="E18" i="37"/>
  <c r="D14" i="37"/>
  <c r="P14" i="37"/>
  <c r="T14" i="37" s="1"/>
  <c r="F14" i="37"/>
  <c r="J14" i="37" s="1"/>
  <c r="K14" i="37"/>
  <c r="O14" i="37" s="1"/>
  <c r="D14" i="39"/>
  <c r="K14" i="39"/>
  <c r="O14" i="39" s="1"/>
  <c r="P14" i="39"/>
  <c r="T14" i="39" s="1"/>
  <c r="F14" i="39"/>
  <c r="J14" i="39" s="1"/>
  <c r="D13" i="39"/>
  <c r="E13" i="39"/>
  <c r="F61" i="37"/>
  <c r="K61" i="37"/>
  <c r="P61" i="37"/>
  <c r="E13" i="37"/>
  <c r="D13" i="37"/>
  <c r="P61" i="39"/>
  <c r="K61" i="39"/>
  <c r="F61" i="39"/>
  <c r="L53" i="41"/>
  <c r="H53" i="41"/>
  <c r="D53" i="41"/>
  <c r="L36" i="41"/>
  <c r="H36" i="41"/>
  <c r="D36" i="41"/>
  <c r="L20" i="41"/>
  <c r="H20" i="41"/>
  <c r="M10" i="1"/>
  <c r="R10" i="1" s="1"/>
  <c r="D10" i="41"/>
  <c r="M43" i="41"/>
  <c r="I43" i="41"/>
  <c r="E26" i="41"/>
  <c r="M10" i="41"/>
  <c r="M26" i="41"/>
  <c r="I10" i="41"/>
  <c r="E43" i="41"/>
  <c r="I26" i="41"/>
  <c r="I11" i="1"/>
  <c r="E62" i="37" l="1"/>
  <c r="E65" i="37" s="1"/>
  <c r="E62" i="39"/>
  <c r="E65" i="39" s="1"/>
  <c r="D62" i="37"/>
  <c r="D65" i="37" s="1"/>
  <c r="D62" i="39"/>
  <c r="D65" i="39" s="1"/>
  <c r="M14" i="37"/>
  <c r="L14" i="37"/>
  <c r="R14" i="39"/>
  <c r="Q14" i="39"/>
  <c r="H14" i="37"/>
  <c r="G14" i="37"/>
  <c r="G14" i="39"/>
  <c r="H14" i="39"/>
  <c r="M14" i="39"/>
  <c r="L14" i="39"/>
  <c r="Q14" i="37"/>
  <c r="R14" i="37"/>
  <c r="T61" i="39"/>
  <c r="Q61" i="39"/>
  <c r="J61" i="37"/>
  <c r="G61" i="37"/>
  <c r="J61" i="39"/>
  <c r="G61" i="39"/>
  <c r="T61" i="37"/>
  <c r="Q61" i="37"/>
  <c r="O61" i="39"/>
  <c r="L61" i="39"/>
  <c r="O61" i="37"/>
  <c r="L61" i="37"/>
  <c r="L43" i="41"/>
  <c r="D43" i="41"/>
  <c r="L10" i="41"/>
  <c r="D26" i="41"/>
  <c r="H10" i="41"/>
  <c r="L26" i="41"/>
  <c r="H26" i="41"/>
  <c r="H43" i="41"/>
  <c r="J11" i="1"/>
  <c r="O11" i="1" s="1"/>
  <c r="T11" i="1" s="1"/>
  <c r="N11" i="1"/>
  <c r="S11" i="1" s="1"/>
  <c r="B32" i="9"/>
  <c r="C32" i="9"/>
  <c r="F32" i="9"/>
  <c r="C32" i="1"/>
  <c r="D32" i="1" s="1"/>
  <c r="B33" i="9"/>
  <c r="C33" i="9"/>
  <c r="F33" i="9"/>
  <c r="C33" i="1"/>
  <c r="D33" i="1" s="1"/>
  <c r="B34" i="9"/>
  <c r="C34" i="9"/>
  <c r="F34" i="9"/>
  <c r="B35" i="9"/>
  <c r="C35" i="9"/>
  <c r="F35" i="9"/>
  <c r="C35" i="1"/>
  <c r="D35" i="1" s="1"/>
  <c r="B36" i="9"/>
  <c r="C36" i="9"/>
  <c r="F36" i="9"/>
  <c r="C36" i="1"/>
  <c r="D36" i="1" s="1"/>
  <c r="B37" i="9"/>
  <c r="C37" i="9"/>
  <c r="F37" i="9"/>
  <c r="C37" i="1"/>
  <c r="D37" i="1" s="1"/>
  <c r="B38" i="9"/>
  <c r="C38" i="9"/>
  <c r="F38" i="9"/>
  <c r="C38" i="1"/>
  <c r="D38" i="1" s="1"/>
  <c r="B39" i="9"/>
  <c r="C39" i="9"/>
  <c r="F39" i="9"/>
  <c r="C39" i="1"/>
  <c r="D39" i="1" s="1"/>
  <c r="B40" i="9"/>
  <c r="C40" i="9"/>
  <c r="F40" i="9"/>
  <c r="C40" i="1"/>
  <c r="D40" i="1" s="1"/>
  <c r="B41" i="9"/>
  <c r="C41" i="9"/>
  <c r="F41" i="9"/>
  <c r="C41" i="1"/>
  <c r="D41" i="1" s="1"/>
  <c r="B42" i="9"/>
  <c r="C42" i="9"/>
  <c r="F42" i="9"/>
  <c r="C42" i="1"/>
  <c r="D42" i="1" s="1"/>
  <c r="B43" i="9"/>
  <c r="C43" i="9"/>
  <c r="F43" i="9"/>
  <c r="C43" i="1"/>
  <c r="D43" i="1" s="1"/>
  <c r="B44" i="9"/>
  <c r="C44" i="9"/>
  <c r="F44" i="9"/>
  <c r="C44" i="1"/>
  <c r="D44" i="1" s="1"/>
  <c r="B45" i="9"/>
  <c r="C45" i="9"/>
  <c r="F45" i="9"/>
  <c r="C45" i="1"/>
  <c r="D45" i="1" s="1"/>
  <c r="B46" i="9"/>
  <c r="C46" i="9"/>
  <c r="F46" i="9"/>
  <c r="C46" i="1"/>
  <c r="D46" i="1" s="1"/>
  <c r="B47" i="9"/>
  <c r="C47" i="9"/>
  <c r="F47" i="9"/>
  <c r="C47" i="1"/>
  <c r="D47" i="1" s="1"/>
  <c r="B48" i="9"/>
  <c r="C48" i="9"/>
  <c r="F48" i="9"/>
  <c r="C48" i="1"/>
  <c r="D48" i="1" s="1"/>
  <c r="B49" i="9"/>
  <c r="C49" i="9"/>
  <c r="F49" i="9"/>
  <c r="C49" i="1"/>
  <c r="D49" i="1" s="1"/>
  <c r="B50" i="9"/>
  <c r="C50" i="9"/>
  <c r="F50" i="9"/>
  <c r="C50" i="1"/>
  <c r="D50" i="1" s="1"/>
  <c r="B51" i="9"/>
  <c r="C51" i="9"/>
  <c r="F51" i="9"/>
  <c r="C51" i="1"/>
  <c r="D51" i="1" s="1"/>
  <c r="B52" i="9"/>
  <c r="C52" i="9"/>
  <c r="F52" i="9"/>
  <c r="C52" i="1"/>
  <c r="D52" i="1" s="1"/>
  <c r="B53" i="9"/>
  <c r="C53" i="9"/>
  <c r="F53" i="9"/>
  <c r="C53" i="1"/>
  <c r="D53" i="1" s="1"/>
  <c r="B54" i="9"/>
  <c r="C54" i="9"/>
  <c r="F54" i="9"/>
  <c r="B55" i="9"/>
  <c r="C55" i="9"/>
  <c r="F55" i="9"/>
  <c r="B56" i="9"/>
  <c r="C56" i="9"/>
  <c r="F56" i="9"/>
  <c r="C56" i="1"/>
  <c r="D56" i="1" s="1"/>
  <c r="B57" i="9"/>
  <c r="C57" i="9"/>
  <c r="F57" i="9"/>
  <c r="B58" i="9"/>
  <c r="C58" i="9"/>
  <c r="F58" i="9"/>
  <c r="C58" i="1"/>
  <c r="D58" i="1" s="1"/>
  <c r="B59" i="9"/>
  <c r="C59" i="9"/>
  <c r="F59" i="9"/>
  <c r="B60" i="9"/>
  <c r="C60" i="9"/>
  <c r="F60" i="9"/>
  <c r="C60" i="1"/>
  <c r="D60" i="1" s="1"/>
  <c r="C61" i="9"/>
  <c r="F61" i="9"/>
  <c r="B34" i="37" l="1"/>
  <c r="B34" i="39"/>
  <c r="B54" i="39"/>
  <c r="B54" i="37"/>
  <c r="B52" i="37"/>
  <c r="B52" i="39"/>
  <c r="B50" i="37"/>
  <c r="B50" i="39"/>
  <c r="B48" i="39"/>
  <c r="B48" i="37"/>
  <c r="B46" i="39"/>
  <c r="B46" i="37"/>
  <c r="B44" i="37"/>
  <c r="B44" i="39"/>
  <c r="B42" i="39"/>
  <c r="B42" i="37"/>
  <c r="B40" i="39"/>
  <c r="B40" i="37"/>
  <c r="B38" i="37"/>
  <c r="B38" i="39"/>
  <c r="B36" i="37"/>
  <c r="B36" i="39"/>
  <c r="B32" i="39"/>
  <c r="B32" i="37"/>
  <c r="B59" i="39"/>
  <c r="B59" i="37"/>
  <c r="B56" i="39"/>
  <c r="B56" i="37"/>
  <c r="B58" i="39"/>
  <c r="B58" i="37"/>
  <c r="B33" i="39"/>
  <c r="B33" i="37"/>
  <c r="B60" i="37"/>
  <c r="B60" i="39"/>
  <c r="B53" i="39"/>
  <c r="B53" i="37"/>
  <c r="B51" i="39"/>
  <c r="B51" i="37"/>
  <c r="B49" i="37"/>
  <c r="B49" i="39"/>
  <c r="B47" i="37"/>
  <c r="B47" i="39"/>
  <c r="B45" i="39"/>
  <c r="B45" i="37"/>
  <c r="B43" i="37"/>
  <c r="B43" i="39"/>
  <c r="B41" i="39"/>
  <c r="B41" i="37"/>
  <c r="B39" i="39"/>
  <c r="B39" i="37"/>
  <c r="B37" i="39"/>
  <c r="B37" i="37"/>
  <c r="B35" i="37"/>
  <c r="B35" i="39"/>
  <c r="B57" i="39"/>
  <c r="B57" i="37"/>
  <c r="B55" i="39"/>
  <c r="B55" i="37"/>
  <c r="R42" i="9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D54" i="1" s="1"/>
  <c r="C34" i="1"/>
  <c r="D34" i="1" s="1"/>
  <c r="C57" i="1"/>
  <c r="D57" i="1" s="1"/>
  <c r="C61" i="1"/>
  <c r="D61" i="1" s="1"/>
  <c r="C59" i="1"/>
  <c r="D59" i="1" s="1"/>
  <c r="C55" i="1"/>
  <c r="D55" i="1" s="1"/>
  <c r="B38" i="1"/>
  <c r="B61" i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B47" i="1"/>
  <c r="B43" i="1"/>
  <c r="B39" i="1"/>
  <c r="B35" i="1"/>
  <c r="Q41" i="37" l="1"/>
  <c r="P41" i="37"/>
  <c r="K41" i="37"/>
  <c r="S41" i="37"/>
  <c r="F41" i="37"/>
  <c r="L41" i="37"/>
  <c r="H41" i="37"/>
  <c r="G41" i="37"/>
  <c r="I41" i="37"/>
  <c r="M41" i="37"/>
  <c r="R41" i="37"/>
  <c r="N41" i="37"/>
  <c r="R50" i="39"/>
  <c r="M50" i="39"/>
  <c r="L50" i="39"/>
  <c r="P50" i="39"/>
  <c r="I50" i="39"/>
  <c r="H50" i="39"/>
  <c r="K50" i="39"/>
  <c r="Q50" i="39"/>
  <c r="F50" i="39"/>
  <c r="G50" i="39"/>
  <c r="S50" i="39"/>
  <c r="N50" i="39"/>
  <c r="Q49" i="37"/>
  <c r="P49" i="37"/>
  <c r="K49" i="37"/>
  <c r="S49" i="37"/>
  <c r="F49" i="37"/>
  <c r="L49" i="37"/>
  <c r="G49" i="37"/>
  <c r="H49" i="37"/>
  <c r="M49" i="37"/>
  <c r="R49" i="37"/>
  <c r="N49" i="37"/>
  <c r="I49" i="37"/>
  <c r="R35" i="39"/>
  <c r="F35" i="39"/>
  <c r="S35" i="39"/>
  <c r="L35" i="39"/>
  <c r="P35" i="39"/>
  <c r="H35" i="39"/>
  <c r="G35" i="39"/>
  <c r="K35" i="39"/>
  <c r="I35" i="39"/>
  <c r="M35" i="39"/>
  <c r="Q35" i="39"/>
  <c r="N35" i="39"/>
  <c r="F43" i="39"/>
  <c r="R43" i="39"/>
  <c r="Q43" i="39"/>
  <c r="P43" i="39"/>
  <c r="N43" i="39"/>
  <c r="M43" i="39"/>
  <c r="K43" i="39"/>
  <c r="I43" i="39"/>
  <c r="L43" i="39"/>
  <c r="H43" i="39"/>
  <c r="S43" i="39"/>
  <c r="G43" i="39"/>
  <c r="I51" i="37"/>
  <c r="P51" i="37"/>
  <c r="R51" i="37"/>
  <c r="Q51" i="37"/>
  <c r="K51" i="37"/>
  <c r="M51" i="37"/>
  <c r="F51" i="37"/>
  <c r="S51" i="37"/>
  <c r="G51" i="37"/>
  <c r="L51" i="37"/>
  <c r="H51" i="37"/>
  <c r="N51" i="37"/>
  <c r="R58" i="37"/>
  <c r="M58" i="37"/>
  <c r="P58" i="37"/>
  <c r="L58" i="37"/>
  <c r="K58" i="37"/>
  <c r="I58" i="37"/>
  <c r="H58" i="37"/>
  <c r="F58" i="37"/>
  <c r="Q58" i="37"/>
  <c r="S58" i="37"/>
  <c r="N58" i="37"/>
  <c r="G58" i="37"/>
  <c r="R36" i="39"/>
  <c r="M36" i="39"/>
  <c r="F36" i="39"/>
  <c r="L36" i="39"/>
  <c r="I36" i="39"/>
  <c r="H36" i="39"/>
  <c r="P36" i="39"/>
  <c r="S36" i="39"/>
  <c r="G36" i="39"/>
  <c r="K36" i="39"/>
  <c r="Q36" i="39"/>
  <c r="N36" i="39"/>
  <c r="F44" i="39"/>
  <c r="S44" i="39"/>
  <c r="R44" i="39"/>
  <c r="P44" i="39"/>
  <c r="N44" i="39"/>
  <c r="K44" i="39"/>
  <c r="L44" i="39"/>
  <c r="H44" i="39"/>
  <c r="Q44" i="39"/>
  <c r="G44" i="39"/>
  <c r="M44" i="39"/>
  <c r="I44" i="39"/>
  <c r="F52" i="39"/>
  <c r="R52" i="39"/>
  <c r="P52" i="39"/>
  <c r="K52" i="39"/>
  <c r="N52" i="39"/>
  <c r="S52" i="39"/>
  <c r="L52" i="39"/>
  <c r="I52" i="39"/>
  <c r="H52" i="39"/>
  <c r="G52" i="39"/>
  <c r="Q52" i="39"/>
  <c r="M52" i="39"/>
  <c r="Q49" i="39"/>
  <c r="L49" i="39"/>
  <c r="P49" i="39"/>
  <c r="H49" i="39"/>
  <c r="K49" i="39"/>
  <c r="G49" i="39"/>
  <c r="S49" i="39"/>
  <c r="F49" i="39"/>
  <c r="R49" i="39"/>
  <c r="I49" i="39"/>
  <c r="N49" i="39"/>
  <c r="M49" i="39"/>
  <c r="Q41" i="39"/>
  <c r="P41" i="39"/>
  <c r="S41" i="39"/>
  <c r="K41" i="39"/>
  <c r="L41" i="39"/>
  <c r="G41" i="39"/>
  <c r="F41" i="39"/>
  <c r="H41" i="39"/>
  <c r="R41" i="39"/>
  <c r="I41" i="39"/>
  <c r="M41" i="39"/>
  <c r="N41" i="39"/>
  <c r="S35" i="37"/>
  <c r="N35" i="37"/>
  <c r="P35" i="37"/>
  <c r="K35" i="37"/>
  <c r="F35" i="37"/>
  <c r="Q35" i="37"/>
  <c r="R35" i="37"/>
  <c r="M35" i="37"/>
  <c r="I35" i="37"/>
  <c r="G35" i="37"/>
  <c r="L35" i="37"/>
  <c r="H35" i="37"/>
  <c r="P43" i="37"/>
  <c r="K43" i="37"/>
  <c r="N43" i="37"/>
  <c r="F43" i="37"/>
  <c r="M43" i="37"/>
  <c r="I43" i="37"/>
  <c r="S43" i="37"/>
  <c r="Q43" i="37"/>
  <c r="G43" i="37"/>
  <c r="L43" i="37"/>
  <c r="H43" i="37"/>
  <c r="R43" i="37"/>
  <c r="R51" i="39"/>
  <c r="F51" i="39"/>
  <c r="Q51" i="39"/>
  <c r="I51" i="39"/>
  <c r="P51" i="39"/>
  <c r="K51" i="39"/>
  <c r="M51" i="39"/>
  <c r="N51" i="39"/>
  <c r="H51" i="39"/>
  <c r="S51" i="39"/>
  <c r="G51" i="39"/>
  <c r="L51" i="39"/>
  <c r="R58" i="39"/>
  <c r="I58" i="39"/>
  <c r="H58" i="39"/>
  <c r="P58" i="39"/>
  <c r="Q58" i="39"/>
  <c r="K58" i="39"/>
  <c r="M58" i="39"/>
  <c r="F58" i="39"/>
  <c r="L58" i="39"/>
  <c r="G58" i="39"/>
  <c r="N58" i="39"/>
  <c r="S58" i="39"/>
  <c r="R36" i="37"/>
  <c r="M36" i="37"/>
  <c r="L36" i="37"/>
  <c r="P36" i="37"/>
  <c r="I36" i="37"/>
  <c r="H36" i="37"/>
  <c r="K36" i="37"/>
  <c r="S36" i="37"/>
  <c r="G36" i="37"/>
  <c r="Q36" i="37"/>
  <c r="F36" i="37"/>
  <c r="N36" i="37"/>
  <c r="N44" i="37"/>
  <c r="P44" i="37"/>
  <c r="K44" i="37"/>
  <c r="F44" i="37"/>
  <c r="H44" i="37"/>
  <c r="G44" i="37"/>
  <c r="Q44" i="37"/>
  <c r="M44" i="37"/>
  <c r="I44" i="37"/>
  <c r="R44" i="37"/>
  <c r="S44" i="37"/>
  <c r="L44" i="37"/>
  <c r="P52" i="37"/>
  <c r="S52" i="37"/>
  <c r="R52" i="37"/>
  <c r="K52" i="37"/>
  <c r="N52" i="37"/>
  <c r="F52" i="37"/>
  <c r="L52" i="37"/>
  <c r="H52" i="37"/>
  <c r="I52" i="37"/>
  <c r="Q52" i="37"/>
  <c r="M52" i="37"/>
  <c r="G52" i="37"/>
  <c r="R33" i="37"/>
  <c r="P33" i="37"/>
  <c r="H33" i="37"/>
  <c r="K33" i="37"/>
  <c r="Q33" i="37"/>
  <c r="F33" i="37"/>
  <c r="M33" i="37"/>
  <c r="L33" i="37"/>
  <c r="I33" i="37"/>
  <c r="G33" i="37"/>
  <c r="S33" i="37"/>
  <c r="N33" i="37"/>
  <c r="R42" i="39"/>
  <c r="Q42" i="39"/>
  <c r="P42" i="39"/>
  <c r="M42" i="39"/>
  <c r="L42" i="39"/>
  <c r="K42" i="39"/>
  <c r="I42" i="39"/>
  <c r="H42" i="39"/>
  <c r="F42" i="39"/>
  <c r="G42" i="39"/>
  <c r="S42" i="39"/>
  <c r="N42" i="39"/>
  <c r="R37" i="37"/>
  <c r="F37" i="37"/>
  <c r="I37" i="37"/>
  <c r="H37" i="37"/>
  <c r="P37" i="37"/>
  <c r="Q37" i="37"/>
  <c r="K37" i="37"/>
  <c r="M37" i="37"/>
  <c r="L37" i="37"/>
  <c r="G37" i="37"/>
  <c r="N37" i="37"/>
  <c r="S37" i="37"/>
  <c r="Q45" i="37"/>
  <c r="F45" i="37"/>
  <c r="S45" i="37"/>
  <c r="L45" i="37"/>
  <c r="P45" i="37"/>
  <c r="H45" i="37"/>
  <c r="G45" i="37"/>
  <c r="K45" i="37"/>
  <c r="N45" i="37"/>
  <c r="R45" i="37"/>
  <c r="I45" i="37"/>
  <c r="M45" i="37"/>
  <c r="Q53" i="37"/>
  <c r="F53" i="37"/>
  <c r="G53" i="37"/>
  <c r="S53" i="37"/>
  <c r="P53" i="37"/>
  <c r="L53" i="37"/>
  <c r="K53" i="37"/>
  <c r="H53" i="37"/>
  <c r="N53" i="37"/>
  <c r="R53" i="37"/>
  <c r="I53" i="37"/>
  <c r="M53" i="37"/>
  <c r="R56" i="37"/>
  <c r="K56" i="37"/>
  <c r="N56" i="37"/>
  <c r="F56" i="37"/>
  <c r="S56" i="37"/>
  <c r="P56" i="37"/>
  <c r="H56" i="37"/>
  <c r="Q56" i="37"/>
  <c r="M56" i="37"/>
  <c r="I56" i="37"/>
  <c r="G56" i="37"/>
  <c r="L56" i="37"/>
  <c r="K38" i="39"/>
  <c r="F38" i="39"/>
  <c r="G38" i="39"/>
  <c r="P38" i="39"/>
  <c r="N38" i="39"/>
  <c r="Q38" i="39"/>
  <c r="S38" i="39"/>
  <c r="H38" i="39"/>
  <c r="M38" i="39"/>
  <c r="R38" i="39"/>
  <c r="I38" i="39"/>
  <c r="L38" i="39"/>
  <c r="R46" i="37"/>
  <c r="F46" i="37"/>
  <c r="M46" i="37"/>
  <c r="L46" i="37"/>
  <c r="I46" i="37"/>
  <c r="P46" i="37"/>
  <c r="H46" i="37"/>
  <c r="K46" i="37"/>
  <c r="Q46" i="37"/>
  <c r="N46" i="37"/>
  <c r="G46" i="37"/>
  <c r="S46" i="37"/>
  <c r="R54" i="37"/>
  <c r="H54" i="37"/>
  <c r="F54" i="37"/>
  <c r="Q54" i="37"/>
  <c r="M54" i="37"/>
  <c r="P54" i="37"/>
  <c r="L54" i="37"/>
  <c r="I54" i="37"/>
  <c r="K54" i="37"/>
  <c r="G54" i="37"/>
  <c r="S54" i="37"/>
  <c r="N54" i="37"/>
  <c r="R32" i="39"/>
  <c r="I32" i="39"/>
  <c r="P32" i="39"/>
  <c r="H32" i="39"/>
  <c r="S32" i="39"/>
  <c r="G32" i="39"/>
  <c r="K32" i="39"/>
  <c r="Q32" i="39"/>
  <c r="F32" i="39"/>
  <c r="M32" i="39"/>
  <c r="L32" i="39"/>
  <c r="N32" i="39"/>
  <c r="K37" i="39"/>
  <c r="F37" i="39"/>
  <c r="P37" i="39"/>
  <c r="R37" i="39"/>
  <c r="L37" i="39"/>
  <c r="H37" i="39"/>
  <c r="S37" i="39"/>
  <c r="M37" i="39"/>
  <c r="I37" i="39"/>
  <c r="G37" i="39"/>
  <c r="Q37" i="39"/>
  <c r="N37" i="39"/>
  <c r="Q45" i="39"/>
  <c r="K45" i="39"/>
  <c r="F45" i="39"/>
  <c r="S45" i="39"/>
  <c r="L45" i="39"/>
  <c r="P45" i="39"/>
  <c r="G45" i="39"/>
  <c r="H45" i="39"/>
  <c r="I45" i="39"/>
  <c r="M45" i="39"/>
  <c r="N45" i="39"/>
  <c r="R45" i="39"/>
  <c r="Q53" i="39"/>
  <c r="K53" i="39"/>
  <c r="G53" i="39"/>
  <c r="F53" i="39"/>
  <c r="S53" i="39"/>
  <c r="L53" i="39"/>
  <c r="P53" i="39"/>
  <c r="H53" i="39"/>
  <c r="N53" i="39"/>
  <c r="R53" i="39"/>
  <c r="I53" i="39"/>
  <c r="M53" i="39"/>
  <c r="N56" i="39"/>
  <c r="P56" i="39"/>
  <c r="K56" i="39"/>
  <c r="S56" i="39"/>
  <c r="F56" i="39"/>
  <c r="R56" i="39"/>
  <c r="L56" i="39"/>
  <c r="H56" i="39"/>
  <c r="Q56" i="39"/>
  <c r="M56" i="39"/>
  <c r="I56" i="39"/>
  <c r="G56" i="39"/>
  <c r="M38" i="37"/>
  <c r="F38" i="37"/>
  <c r="P38" i="37"/>
  <c r="K38" i="37"/>
  <c r="H38" i="37"/>
  <c r="I38" i="37"/>
  <c r="R38" i="37"/>
  <c r="N38" i="37"/>
  <c r="Q38" i="37"/>
  <c r="S38" i="37"/>
  <c r="L38" i="37"/>
  <c r="G38" i="37"/>
  <c r="R46" i="39"/>
  <c r="K46" i="39"/>
  <c r="Q46" i="39"/>
  <c r="F46" i="39"/>
  <c r="M46" i="39"/>
  <c r="L46" i="39"/>
  <c r="P46" i="39"/>
  <c r="I46" i="39"/>
  <c r="H46" i="39"/>
  <c r="N46" i="39"/>
  <c r="S46" i="39"/>
  <c r="G46" i="39"/>
  <c r="R54" i="39"/>
  <c r="H54" i="39"/>
  <c r="K54" i="39"/>
  <c r="Q54" i="39"/>
  <c r="F54" i="39"/>
  <c r="M54" i="39"/>
  <c r="L54" i="39"/>
  <c r="I54" i="39"/>
  <c r="P54" i="39"/>
  <c r="S54" i="39"/>
  <c r="N54" i="39"/>
  <c r="G54" i="39"/>
  <c r="Q57" i="37"/>
  <c r="P57" i="37"/>
  <c r="L57" i="37"/>
  <c r="K57" i="37"/>
  <c r="H57" i="37"/>
  <c r="F57" i="37"/>
  <c r="G57" i="37"/>
  <c r="S57" i="37"/>
  <c r="R57" i="37"/>
  <c r="M57" i="37"/>
  <c r="N57" i="37"/>
  <c r="I57" i="37"/>
  <c r="R32" i="37"/>
  <c r="K32" i="37"/>
  <c r="I32" i="37"/>
  <c r="H32" i="37"/>
  <c r="F32" i="37"/>
  <c r="S32" i="37"/>
  <c r="G32" i="37"/>
  <c r="Q32" i="37"/>
  <c r="M32" i="37"/>
  <c r="L32" i="37"/>
  <c r="P32" i="37"/>
  <c r="N32" i="37"/>
  <c r="Q57" i="39"/>
  <c r="H57" i="39"/>
  <c r="G57" i="39"/>
  <c r="P57" i="39"/>
  <c r="K57" i="39"/>
  <c r="S57" i="39"/>
  <c r="F57" i="39"/>
  <c r="L57" i="39"/>
  <c r="R57" i="39"/>
  <c r="M57" i="39"/>
  <c r="I57" i="39"/>
  <c r="N57" i="39"/>
  <c r="R50" i="37"/>
  <c r="P50" i="37"/>
  <c r="Q50" i="37"/>
  <c r="K50" i="37"/>
  <c r="M50" i="37"/>
  <c r="L50" i="37"/>
  <c r="F50" i="37"/>
  <c r="I50" i="37"/>
  <c r="H50" i="37"/>
  <c r="S50" i="37"/>
  <c r="N50" i="37"/>
  <c r="G50" i="37"/>
  <c r="M55" i="37"/>
  <c r="K55" i="37"/>
  <c r="F55" i="37"/>
  <c r="P55" i="37"/>
  <c r="N55" i="37"/>
  <c r="Q55" i="37"/>
  <c r="R55" i="37"/>
  <c r="S55" i="37"/>
  <c r="H55" i="37"/>
  <c r="G55" i="37"/>
  <c r="L55" i="37"/>
  <c r="I55" i="37"/>
  <c r="K39" i="37"/>
  <c r="R39" i="37"/>
  <c r="F39" i="37"/>
  <c r="N39" i="37"/>
  <c r="M39" i="37"/>
  <c r="P39" i="37"/>
  <c r="S39" i="37"/>
  <c r="I39" i="37"/>
  <c r="G39" i="37"/>
  <c r="L39" i="37"/>
  <c r="H39" i="37"/>
  <c r="Q39" i="37"/>
  <c r="P47" i="39"/>
  <c r="K47" i="39"/>
  <c r="F47" i="39"/>
  <c r="I47" i="39"/>
  <c r="H47" i="39"/>
  <c r="L47" i="39"/>
  <c r="N47" i="39"/>
  <c r="M47" i="39"/>
  <c r="R47" i="39"/>
  <c r="Q47" i="39"/>
  <c r="S47" i="39"/>
  <c r="G47" i="39"/>
  <c r="F60" i="39"/>
  <c r="G60" i="39"/>
  <c r="P60" i="39"/>
  <c r="K60" i="39"/>
  <c r="H60" i="39"/>
  <c r="Q60" i="39"/>
  <c r="M60" i="39"/>
  <c r="L60" i="39"/>
  <c r="I60" i="39"/>
  <c r="N60" i="39"/>
  <c r="S60" i="39"/>
  <c r="R60" i="39"/>
  <c r="I59" i="37"/>
  <c r="P59" i="37"/>
  <c r="K59" i="37"/>
  <c r="F59" i="37"/>
  <c r="S59" i="37"/>
  <c r="Q59" i="37"/>
  <c r="G59" i="37"/>
  <c r="L59" i="37"/>
  <c r="M59" i="37"/>
  <c r="H59" i="37"/>
  <c r="R59" i="37"/>
  <c r="N59" i="37"/>
  <c r="R40" i="37"/>
  <c r="K40" i="37"/>
  <c r="S40" i="37"/>
  <c r="F40" i="37"/>
  <c r="N40" i="37"/>
  <c r="P40" i="37"/>
  <c r="I40" i="37"/>
  <c r="G40" i="37"/>
  <c r="Q40" i="37"/>
  <c r="L40" i="37"/>
  <c r="H40" i="37"/>
  <c r="M40" i="37"/>
  <c r="R48" i="37"/>
  <c r="K48" i="37"/>
  <c r="F48" i="37"/>
  <c r="G48" i="37"/>
  <c r="P48" i="37"/>
  <c r="I48" i="37"/>
  <c r="S48" i="37"/>
  <c r="N48" i="37"/>
  <c r="L48" i="37"/>
  <c r="Q48" i="37"/>
  <c r="H48" i="37"/>
  <c r="M48" i="37"/>
  <c r="Q34" i="39"/>
  <c r="S34" i="39"/>
  <c r="P34" i="39"/>
  <c r="G34" i="39"/>
  <c r="K34" i="39"/>
  <c r="F34" i="39"/>
  <c r="H34" i="39"/>
  <c r="L34" i="39"/>
  <c r="I34" i="39"/>
  <c r="R34" i="39"/>
  <c r="M34" i="39"/>
  <c r="N34" i="39"/>
  <c r="R42" i="37"/>
  <c r="P42" i="37"/>
  <c r="Q42" i="37"/>
  <c r="K42" i="37"/>
  <c r="M42" i="37"/>
  <c r="L42" i="37"/>
  <c r="F42" i="37"/>
  <c r="I42" i="37"/>
  <c r="H42" i="37"/>
  <c r="S42" i="37"/>
  <c r="N42" i="37"/>
  <c r="G42" i="37"/>
  <c r="P33" i="39"/>
  <c r="K33" i="39"/>
  <c r="F33" i="39"/>
  <c r="R33" i="39"/>
  <c r="L33" i="39"/>
  <c r="H33" i="39"/>
  <c r="I33" i="39"/>
  <c r="S33" i="39"/>
  <c r="M33" i="39"/>
  <c r="G33" i="39"/>
  <c r="N33" i="39"/>
  <c r="Q33" i="39"/>
  <c r="P55" i="39"/>
  <c r="K55" i="39"/>
  <c r="R55" i="39"/>
  <c r="Q55" i="39"/>
  <c r="F55" i="39"/>
  <c r="M55" i="39"/>
  <c r="I55" i="39"/>
  <c r="S55" i="39"/>
  <c r="N55" i="39"/>
  <c r="G55" i="39"/>
  <c r="L55" i="39"/>
  <c r="H55" i="39"/>
  <c r="P39" i="39"/>
  <c r="K39" i="39"/>
  <c r="F39" i="39"/>
  <c r="Q39" i="39"/>
  <c r="M39" i="39"/>
  <c r="S39" i="39"/>
  <c r="R39" i="39"/>
  <c r="G39" i="39"/>
  <c r="I39" i="39"/>
  <c r="N39" i="39"/>
  <c r="L39" i="39"/>
  <c r="H39" i="39"/>
  <c r="K47" i="37"/>
  <c r="Q47" i="37"/>
  <c r="F47" i="37"/>
  <c r="M47" i="37"/>
  <c r="I47" i="37"/>
  <c r="R47" i="37"/>
  <c r="P47" i="37"/>
  <c r="H47" i="37"/>
  <c r="G47" i="37"/>
  <c r="N47" i="37"/>
  <c r="S47" i="37"/>
  <c r="L47" i="37"/>
  <c r="R60" i="37"/>
  <c r="P60" i="37"/>
  <c r="K60" i="37"/>
  <c r="F60" i="37"/>
  <c r="Q60" i="37"/>
  <c r="M60" i="37"/>
  <c r="G60" i="37"/>
  <c r="I60" i="37"/>
  <c r="S60" i="37"/>
  <c r="L60" i="37"/>
  <c r="N60" i="37"/>
  <c r="H60" i="37"/>
  <c r="F59" i="39"/>
  <c r="I59" i="39"/>
  <c r="P59" i="39"/>
  <c r="K59" i="39"/>
  <c r="L59" i="39"/>
  <c r="H59" i="39"/>
  <c r="R59" i="39"/>
  <c r="M59" i="39"/>
  <c r="S59" i="39"/>
  <c r="Q59" i="39"/>
  <c r="N59" i="39"/>
  <c r="G59" i="39"/>
  <c r="P40" i="39"/>
  <c r="R40" i="39"/>
  <c r="K40" i="39"/>
  <c r="F40" i="39"/>
  <c r="H40" i="39"/>
  <c r="N40" i="39"/>
  <c r="Q40" i="39"/>
  <c r="M40" i="39"/>
  <c r="L40" i="39"/>
  <c r="I40" i="39"/>
  <c r="S40" i="39"/>
  <c r="G40" i="39"/>
  <c r="P48" i="39"/>
  <c r="G48" i="39"/>
  <c r="K48" i="39"/>
  <c r="F48" i="39"/>
  <c r="Q48" i="39"/>
  <c r="M48" i="39"/>
  <c r="I48" i="39"/>
  <c r="L48" i="39"/>
  <c r="H48" i="39"/>
  <c r="S48" i="39"/>
  <c r="R48" i="39"/>
  <c r="N48" i="39"/>
  <c r="R34" i="37"/>
  <c r="P34" i="37"/>
  <c r="K34" i="37"/>
  <c r="F34" i="37"/>
  <c r="N34" i="37"/>
  <c r="Q34" i="37"/>
  <c r="M34" i="37"/>
  <c r="S34" i="37"/>
  <c r="G34" i="37"/>
  <c r="L34" i="37"/>
  <c r="H34" i="37"/>
  <c r="I34" i="37"/>
  <c r="R60" i="1"/>
  <c r="Q60" i="1"/>
  <c r="M60" i="1"/>
  <c r="S60" i="1"/>
  <c r="L60" i="1"/>
  <c r="H60" i="1"/>
  <c r="K60" i="1"/>
  <c r="N60" i="1"/>
  <c r="P60" i="1"/>
  <c r="I60" i="1"/>
  <c r="G60" i="1"/>
  <c r="F60" i="1"/>
  <c r="R36" i="1"/>
  <c r="L36" i="1"/>
  <c r="Q36" i="1"/>
  <c r="K36" i="1"/>
  <c r="M36" i="1"/>
  <c r="S36" i="1"/>
  <c r="H36" i="1"/>
  <c r="N36" i="1"/>
  <c r="G36" i="1"/>
  <c r="P36" i="1"/>
  <c r="I36" i="1"/>
  <c r="F36" i="1"/>
  <c r="P42" i="1"/>
  <c r="N42" i="1"/>
  <c r="S42" i="1"/>
  <c r="M42" i="1"/>
  <c r="Q42" i="1"/>
  <c r="L42" i="1"/>
  <c r="H42" i="1"/>
  <c r="R42" i="1"/>
  <c r="G42" i="1"/>
  <c r="I42" i="1"/>
  <c r="K42" i="1"/>
  <c r="F42" i="1"/>
  <c r="S35" i="1"/>
  <c r="M35" i="1"/>
  <c r="R35" i="1"/>
  <c r="L35" i="1"/>
  <c r="Q35" i="1"/>
  <c r="H35" i="1"/>
  <c r="P35" i="1"/>
  <c r="N35" i="1"/>
  <c r="G35" i="1"/>
  <c r="K35" i="1"/>
  <c r="I35" i="1"/>
  <c r="F35" i="1"/>
  <c r="P46" i="1"/>
  <c r="S46" i="1"/>
  <c r="Q46" i="1"/>
  <c r="K46" i="1"/>
  <c r="N46" i="1"/>
  <c r="H46" i="1"/>
  <c r="R46" i="1"/>
  <c r="M46" i="1"/>
  <c r="L46" i="1"/>
  <c r="I46" i="1"/>
  <c r="F46" i="1"/>
  <c r="G46" i="1"/>
  <c r="R40" i="1"/>
  <c r="L40" i="1"/>
  <c r="Q40" i="1"/>
  <c r="K40" i="1"/>
  <c r="M40" i="1"/>
  <c r="S40" i="1"/>
  <c r="N40" i="1"/>
  <c r="H40" i="1"/>
  <c r="G40" i="1"/>
  <c r="P40" i="1"/>
  <c r="I40" i="1"/>
  <c r="F40" i="1"/>
  <c r="S43" i="1"/>
  <c r="M43" i="1"/>
  <c r="R43" i="1"/>
  <c r="L43" i="1"/>
  <c r="Q43" i="1"/>
  <c r="H43" i="1"/>
  <c r="P43" i="1"/>
  <c r="N43" i="1"/>
  <c r="G43" i="1"/>
  <c r="K43" i="1"/>
  <c r="I43" i="1"/>
  <c r="F43" i="1"/>
  <c r="S59" i="1"/>
  <c r="R59" i="1"/>
  <c r="Q59" i="1"/>
  <c r="N59" i="1"/>
  <c r="H59" i="1"/>
  <c r="P59" i="1"/>
  <c r="M59" i="1"/>
  <c r="K59" i="1"/>
  <c r="L59" i="1"/>
  <c r="I59" i="1"/>
  <c r="F59" i="1"/>
  <c r="G59" i="1"/>
  <c r="P58" i="1"/>
  <c r="S58" i="1"/>
  <c r="Q58" i="1"/>
  <c r="K58" i="1"/>
  <c r="N58" i="1"/>
  <c r="H58" i="1"/>
  <c r="R58" i="1"/>
  <c r="M58" i="1"/>
  <c r="L58" i="1"/>
  <c r="I58" i="1"/>
  <c r="F58" i="1"/>
  <c r="G58" i="1"/>
  <c r="R32" i="1"/>
  <c r="L32" i="1"/>
  <c r="Q32" i="1"/>
  <c r="K32" i="1"/>
  <c r="M32" i="1"/>
  <c r="S32" i="1"/>
  <c r="N32" i="1"/>
  <c r="H32" i="1"/>
  <c r="G32" i="1"/>
  <c r="P32" i="1"/>
  <c r="I32" i="1"/>
  <c r="F32" i="1"/>
  <c r="R48" i="1"/>
  <c r="Q48" i="1"/>
  <c r="M48" i="1"/>
  <c r="S48" i="1"/>
  <c r="L48" i="1"/>
  <c r="N48" i="1"/>
  <c r="H48" i="1"/>
  <c r="P48" i="1"/>
  <c r="I48" i="1"/>
  <c r="K48" i="1"/>
  <c r="G48" i="1"/>
  <c r="F48" i="1"/>
  <c r="Q37" i="1"/>
  <c r="K37" i="1"/>
  <c r="P37" i="1"/>
  <c r="N37" i="1"/>
  <c r="M37" i="1"/>
  <c r="L37" i="1"/>
  <c r="R37" i="1"/>
  <c r="H37" i="1"/>
  <c r="S37" i="1"/>
  <c r="G37" i="1"/>
  <c r="I37" i="1"/>
  <c r="F37" i="1"/>
  <c r="Q53" i="1"/>
  <c r="P53" i="1"/>
  <c r="L53" i="1"/>
  <c r="K53" i="1"/>
  <c r="M53" i="1"/>
  <c r="H53" i="1"/>
  <c r="S53" i="1"/>
  <c r="I53" i="1"/>
  <c r="R53" i="1"/>
  <c r="N53" i="1"/>
  <c r="F53" i="1"/>
  <c r="G53" i="1"/>
  <c r="S47" i="1"/>
  <c r="R47" i="1"/>
  <c r="Q47" i="1"/>
  <c r="N47" i="1"/>
  <c r="H47" i="1"/>
  <c r="P47" i="1"/>
  <c r="M47" i="1"/>
  <c r="K47" i="1"/>
  <c r="L47" i="1"/>
  <c r="I47" i="1"/>
  <c r="F47" i="1"/>
  <c r="G47" i="1"/>
  <c r="Q33" i="1"/>
  <c r="K33" i="1"/>
  <c r="P33" i="1"/>
  <c r="N33" i="1"/>
  <c r="M33" i="1"/>
  <c r="L33" i="1"/>
  <c r="R33" i="1"/>
  <c r="S33" i="1"/>
  <c r="G33" i="1"/>
  <c r="H33" i="1"/>
  <c r="I33" i="1"/>
  <c r="F33" i="1"/>
  <c r="R52" i="1"/>
  <c r="Q52" i="1"/>
  <c r="M52" i="1"/>
  <c r="S52" i="1"/>
  <c r="L52" i="1"/>
  <c r="H52" i="1"/>
  <c r="N52" i="1"/>
  <c r="P52" i="1"/>
  <c r="I52" i="1"/>
  <c r="K52" i="1"/>
  <c r="G52" i="1"/>
  <c r="F52" i="1"/>
  <c r="Q41" i="1"/>
  <c r="K41" i="1"/>
  <c r="P41" i="1"/>
  <c r="N41" i="1"/>
  <c r="M41" i="1"/>
  <c r="L41" i="1"/>
  <c r="S41" i="1"/>
  <c r="G41" i="1"/>
  <c r="H41" i="1"/>
  <c r="I41" i="1"/>
  <c r="R41" i="1"/>
  <c r="F41" i="1"/>
  <c r="S51" i="1"/>
  <c r="R51" i="1"/>
  <c r="Q51" i="1"/>
  <c r="N51" i="1"/>
  <c r="H51" i="1"/>
  <c r="P51" i="1"/>
  <c r="M51" i="1"/>
  <c r="K51" i="1"/>
  <c r="L51" i="1"/>
  <c r="I51" i="1"/>
  <c r="F51" i="1"/>
  <c r="G51" i="1"/>
  <c r="P50" i="1"/>
  <c r="S50" i="1"/>
  <c r="Q50" i="1"/>
  <c r="K50" i="1"/>
  <c r="N50" i="1"/>
  <c r="H50" i="1"/>
  <c r="R50" i="1"/>
  <c r="M50" i="1"/>
  <c r="L50" i="1"/>
  <c r="I50" i="1"/>
  <c r="F50" i="1"/>
  <c r="G50" i="1"/>
  <c r="R56" i="1"/>
  <c r="Q56" i="1"/>
  <c r="M56" i="1"/>
  <c r="S56" i="1"/>
  <c r="L56" i="1"/>
  <c r="K56" i="1"/>
  <c r="N56" i="1"/>
  <c r="H56" i="1"/>
  <c r="P56" i="1"/>
  <c r="I56" i="1"/>
  <c r="G56" i="1"/>
  <c r="F56" i="1"/>
  <c r="Q45" i="1"/>
  <c r="P45" i="1"/>
  <c r="L45" i="1"/>
  <c r="K45" i="1"/>
  <c r="M45" i="1"/>
  <c r="R45" i="1"/>
  <c r="N45" i="1"/>
  <c r="S45" i="1"/>
  <c r="I45" i="1"/>
  <c r="H45" i="1"/>
  <c r="G45" i="1"/>
  <c r="F45" i="1"/>
  <c r="P38" i="1"/>
  <c r="N38" i="1"/>
  <c r="S38" i="1"/>
  <c r="M38" i="1"/>
  <c r="Q38" i="1"/>
  <c r="L38" i="1"/>
  <c r="H38" i="1"/>
  <c r="R38" i="1"/>
  <c r="K38" i="1"/>
  <c r="G38" i="1"/>
  <c r="I38" i="1"/>
  <c r="F38" i="1"/>
  <c r="S39" i="1"/>
  <c r="M39" i="1"/>
  <c r="R39" i="1"/>
  <c r="L39" i="1"/>
  <c r="Q39" i="1"/>
  <c r="H39" i="1"/>
  <c r="P39" i="1"/>
  <c r="N39" i="1"/>
  <c r="G39" i="1"/>
  <c r="K39" i="1"/>
  <c r="I39" i="1"/>
  <c r="F39" i="1"/>
  <c r="S55" i="1"/>
  <c r="R55" i="1"/>
  <c r="Q55" i="1"/>
  <c r="N55" i="1"/>
  <c r="H55" i="1"/>
  <c r="P55" i="1"/>
  <c r="M55" i="1"/>
  <c r="K55" i="1"/>
  <c r="L55" i="1"/>
  <c r="I55" i="1"/>
  <c r="F55" i="1"/>
  <c r="G55" i="1"/>
  <c r="P54" i="1"/>
  <c r="S54" i="1"/>
  <c r="Q54" i="1"/>
  <c r="K54" i="1"/>
  <c r="N54" i="1"/>
  <c r="H54" i="1"/>
  <c r="R54" i="1"/>
  <c r="M54" i="1"/>
  <c r="L54" i="1"/>
  <c r="I54" i="1"/>
  <c r="F54" i="1"/>
  <c r="G54" i="1"/>
  <c r="Q57" i="1"/>
  <c r="P57" i="1"/>
  <c r="L57" i="1"/>
  <c r="K57" i="1"/>
  <c r="M57" i="1"/>
  <c r="R57" i="1"/>
  <c r="S57" i="1"/>
  <c r="H57" i="1"/>
  <c r="I57" i="1"/>
  <c r="N57" i="1"/>
  <c r="G57" i="1"/>
  <c r="F57" i="1"/>
  <c r="R44" i="1"/>
  <c r="L44" i="1"/>
  <c r="Q44" i="1"/>
  <c r="K44" i="1"/>
  <c r="M44" i="1"/>
  <c r="S44" i="1"/>
  <c r="H44" i="1"/>
  <c r="N44" i="1"/>
  <c r="G44" i="1"/>
  <c r="P44" i="1"/>
  <c r="I44" i="1"/>
  <c r="F44" i="1"/>
  <c r="P34" i="1"/>
  <c r="N34" i="1"/>
  <c r="S34" i="1"/>
  <c r="M34" i="1"/>
  <c r="Q34" i="1"/>
  <c r="L34" i="1"/>
  <c r="H34" i="1"/>
  <c r="R34" i="1"/>
  <c r="G34" i="1"/>
  <c r="I34" i="1"/>
  <c r="K34" i="1"/>
  <c r="F34" i="1"/>
  <c r="Q49" i="1"/>
  <c r="P49" i="1"/>
  <c r="L49" i="1"/>
  <c r="K49" i="1"/>
  <c r="M49" i="1"/>
  <c r="R49" i="1"/>
  <c r="N49" i="1"/>
  <c r="S49" i="1"/>
  <c r="H49" i="1"/>
  <c r="I49" i="1"/>
  <c r="F49" i="1"/>
  <c r="G49" i="1"/>
  <c r="F61" i="1"/>
  <c r="P61" i="1"/>
  <c r="K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L61" i="1" l="1"/>
  <c r="O61" i="1"/>
  <c r="R61" i="1"/>
  <c r="T61" i="1"/>
  <c r="G61" i="1"/>
  <c r="Q61" i="1"/>
  <c r="I61" i="1"/>
  <c r="H61" i="1"/>
  <c r="M61" i="1"/>
  <c r="N61" i="1"/>
  <c r="S61" i="1"/>
  <c r="A20" i="4"/>
  <c r="A19" i="4"/>
  <c r="A18" i="4"/>
  <c r="F81" i="9" l="1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B10" i="39" l="1"/>
  <c r="B10" i="37"/>
  <c r="B11" i="37"/>
  <c r="B11" i="39"/>
  <c r="A5" i="26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F14" i="9"/>
  <c r="P10" i="9"/>
  <c r="P11" i="9"/>
  <c r="O11" i="9"/>
  <c r="N10" i="9"/>
  <c r="K10" i="9"/>
  <c r="J10" i="9"/>
  <c r="I10" i="9"/>
  <c r="C10" i="9"/>
  <c r="B11" i="9"/>
  <c r="B10" i="9"/>
  <c r="A11" i="1"/>
  <c r="C14" i="1"/>
  <c r="D14" i="1" s="1"/>
  <c r="C15" i="1"/>
  <c r="D15" i="1" s="1"/>
  <c r="C16" i="1"/>
  <c r="D16" i="1" s="1"/>
  <c r="C17" i="1"/>
  <c r="D17" i="1" s="1"/>
  <c r="C18" i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F15" i="9"/>
  <c r="F13" i="9"/>
  <c r="B28" i="39" l="1"/>
  <c r="B28" i="37"/>
  <c r="B24" i="39"/>
  <c r="B24" i="37"/>
  <c r="B20" i="39"/>
  <c r="B20" i="37"/>
  <c r="B29" i="39"/>
  <c r="B29" i="37"/>
  <c r="B31" i="37"/>
  <c r="B31" i="39"/>
  <c r="B27" i="37"/>
  <c r="B27" i="39"/>
  <c r="B23" i="37"/>
  <c r="B23" i="39"/>
  <c r="B19" i="37"/>
  <c r="B19" i="39"/>
  <c r="B25" i="37"/>
  <c r="B25" i="39"/>
  <c r="B30" i="39"/>
  <c r="B30" i="37"/>
  <c r="B26" i="39"/>
  <c r="B26" i="37"/>
  <c r="B22" i="37"/>
  <c r="B22" i="39"/>
  <c r="B21" i="37"/>
  <c r="B21" i="39"/>
  <c r="D18" i="1"/>
  <c r="E18" i="1"/>
  <c r="N14" i="39"/>
  <c r="I14" i="39"/>
  <c r="S14" i="37"/>
  <c r="N14" i="37"/>
  <c r="I14" i="37"/>
  <c r="S14" i="39"/>
  <c r="B17" i="39"/>
  <c r="B17" i="37"/>
  <c r="B15" i="39"/>
  <c r="B15" i="37"/>
  <c r="B18" i="39"/>
  <c r="B18" i="37"/>
  <c r="B16" i="37"/>
  <c r="B16" i="39"/>
  <c r="B13" i="37"/>
  <c r="B13" i="39"/>
  <c r="R13" i="9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F27" i="9"/>
  <c r="F30" i="9"/>
  <c r="F26" i="9"/>
  <c r="Q15" i="9"/>
  <c r="G62" i="9"/>
  <c r="B20" i="1"/>
  <c r="B22" i="1"/>
  <c r="B24" i="1"/>
  <c r="B19" i="1"/>
  <c r="B21" i="1"/>
  <c r="A11" i="9"/>
  <c r="F22" i="37" l="1"/>
  <c r="Q22" i="37"/>
  <c r="P22" i="37"/>
  <c r="K22" i="37"/>
  <c r="L22" i="37"/>
  <c r="H22" i="37"/>
  <c r="G22" i="37"/>
  <c r="I22" i="37"/>
  <c r="M22" i="37"/>
  <c r="N22" i="37"/>
  <c r="R22" i="37"/>
  <c r="S22" i="37"/>
  <c r="R19" i="37"/>
  <c r="Q19" i="37"/>
  <c r="P19" i="37"/>
  <c r="M19" i="37"/>
  <c r="L19" i="37"/>
  <c r="K19" i="37"/>
  <c r="I19" i="37"/>
  <c r="G19" i="37"/>
  <c r="H19" i="37"/>
  <c r="S19" i="37"/>
  <c r="F19" i="37"/>
  <c r="N19" i="37"/>
  <c r="P26" i="37"/>
  <c r="R26" i="37"/>
  <c r="Q26" i="37"/>
  <c r="K26" i="37"/>
  <c r="N26" i="37"/>
  <c r="F26" i="37"/>
  <c r="M26" i="37"/>
  <c r="H26" i="37"/>
  <c r="I26" i="37"/>
  <c r="G26" i="37"/>
  <c r="S26" i="37"/>
  <c r="L26" i="37"/>
  <c r="S23" i="39"/>
  <c r="P23" i="39"/>
  <c r="K23" i="39"/>
  <c r="F23" i="39"/>
  <c r="G23" i="39"/>
  <c r="Q23" i="39"/>
  <c r="L23" i="39"/>
  <c r="M23" i="39"/>
  <c r="R23" i="39"/>
  <c r="I23" i="39"/>
  <c r="H23" i="39"/>
  <c r="N23" i="39"/>
  <c r="S20" i="37"/>
  <c r="M20" i="37"/>
  <c r="L20" i="37"/>
  <c r="P20" i="37"/>
  <c r="I20" i="37"/>
  <c r="H20" i="37"/>
  <c r="K20" i="37"/>
  <c r="Q20" i="37"/>
  <c r="F20" i="37"/>
  <c r="N20" i="37"/>
  <c r="R20" i="37"/>
  <c r="G20" i="37"/>
  <c r="S22" i="39"/>
  <c r="K22" i="39"/>
  <c r="Q22" i="39"/>
  <c r="F22" i="39"/>
  <c r="N22" i="39"/>
  <c r="I22" i="39"/>
  <c r="P22" i="39"/>
  <c r="M22" i="39"/>
  <c r="L22" i="39"/>
  <c r="H22" i="39"/>
  <c r="R22" i="39"/>
  <c r="G22" i="39"/>
  <c r="K29" i="39"/>
  <c r="P29" i="39"/>
  <c r="F29" i="39"/>
  <c r="R29" i="39"/>
  <c r="I29" i="39"/>
  <c r="L29" i="39"/>
  <c r="H29" i="39"/>
  <c r="S29" i="39"/>
  <c r="N29" i="39"/>
  <c r="M29" i="39"/>
  <c r="G29" i="39"/>
  <c r="Q29" i="39"/>
  <c r="Q26" i="39"/>
  <c r="P26" i="39"/>
  <c r="K26" i="39"/>
  <c r="F26" i="39"/>
  <c r="S26" i="39"/>
  <c r="G26" i="39"/>
  <c r="M26" i="39"/>
  <c r="R26" i="39"/>
  <c r="L26" i="39"/>
  <c r="H26" i="39"/>
  <c r="I26" i="39"/>
  <c r="N26" i="39"/>
  <c r="R23" i="37"/>
  <c r="K23" i="37"/>
  <c r="F23" i="37"/>
  <c r="S23" i="37"/>
  <c r="P23" i="37"/>
  <c r="L23" i="37"/>
  <c r="H23" i="37"/>
  <c r="N23" i="37"/>
  <c r="Q23" i="37"/>
  <c r="M23" i="37"/>
  <c r="G23" i="37"/>
  <c r="I23" i="37"/>
  <c r="F20" i="39"/>
  <c r="P20" i="39"/>
  <c r="K20" i="39"/>
  <c r="G20" i="39"/>
  <c r="H20" i="39"/>
  <c r="N20" i="39"/>
  <c r="S20" i="39"/>
  <c r="L20" i="39"/>
  <c r="R20" i="39"/>
  <c r="Q20" i="39"/>
  <c r="M20" i="39"/>
  <c r="I20" i="39"/>
  <c r="Q30" i="39"/>
  <c r="G30" i="39"/>
  <c r="K30" i="39"/>
  <c r="F30" i="39"/>
  <c r="S30" i="39"/>
  <c r="P30" i="39"/>
  <c r="M30" i="39"/>
  <c r="H30" i="39"/>
  <c r="I30" i="39"/>
  <c r="N30" i="39"/>
  <c r="L30" i="39"/>
  <c r="R30" i="39"/>
  <c r="P27" i="37"/>
  <c r="S27" i="37"/>
  <c r="R27" i="37"/>
  <c r="K27" i="37"/>
  <c r="N27" i="37"/>
  <c r="F27" i="37"/>
  <c r="L27" i="37"/>
  <c r="H27" i="37"/>
  <c r="I27" i="37"/>
  <c r="Q27" i="37"/>
  <c r="M27" i="37"/>
  <c r="G27" i="37"/>
  <c r="R24" i="39"/>
  <c r="H24" i="39"/>
  <c r="P24" i="39"/>
  <c r="S24" i="39"/>
  <c r="G24" i="39"/>
  <c r="Q24" i="39"/>
  <c r="K24" i="39"/>
  <c r="M24" i="39"/>
  <c r="F24" i="39"/>
  <c r="L24" i="39"/>
  <c r="I24" i="39"/>
  <c r="N24" i="39"/>
  <c r="R19" i="39"/>
  <c r="F19" i="39"/>
  <c r="I19" i="39"/>
  <c r="G19" i="39"/>
  <c r="S19" i="39"/>
  <c r="P19" i="39"/>
  <c r="Q19" i="39"/>
  <c r="M19" i="39"/>
  <c r="K19" i="39"/>
  <c r="N19" i="39"/>
  <c r="H19" i="39"/>
  <c r="L19" i="39"/>
  <c r="R30" i="37"/>
  <c r="F30" i="37"/>
  <c r="P30" i="37"/>
  <c r="K30" i="37"/>
  <c r="N30" i="37"/>
  <c r="I30" i="37"/>
  <c r="M30" i="37"/>
  <c r="S30" i="37"/>
  <c r="G30" i="37"/>
  <c r="L30" i="37"/>
  <c r="H30" i="37"/>
  <c r="Q30" i="37"/>
  <c r="F27" i="39"/>
  <c r="L27" i="39"/>
  <c r="P27" i="39"/>
  <c r="H27" i="39"/>
  <c r="K27" i="39"/>
  <c r="G27" i="39"/>
  <c r="M27" i="39"/>
  <c r="Q27" i="39"/>
  <c r="I27" i="39"/>
  <c r="S27" i="39"/>
  <c r="N27" i="39"/>
  <c r="R27" i="39"/>
  <c r="K21" i="39"/>
  <c r="Q21" i="39"/>
  <c r="P21" i="39"/>
  <c r="F21" i="39"/>
  <c r="M21" i="39"/>
  <c r="H21" i="39"/>
  <c r="S21" i="39"/>
  <c r="G21" i="39"/>
  <c r="L21" i="39"/>
  <c r="I21" i="39"/>
  <c r="N21" i="39"/>
  <c r="R21" i="39"/>
  <c r="R25" i="39"/>
  <c r="P25" i="39"/>
  <c r="K25" i="39"/>
  <c r="F25" i="39"/>
  <c r="H25" i="39"/>
  <c r="S25" i="39"/>
  <c r="N25" i="39"/>
  <c r="M25" i="39"/>
  <c r="G25" i="39"/>
  <c r="Q25" i="39"/>
  <c r="I25" i="39"/>
  <c r="L25" i="39"/>
  <c r="R31" i="39"/>
  <c r="P31" i="39"/>
  <c r="H31" i="39"/>
  <c r="K31" i="39"/>
  <c r="G31" i="39"/>
  <c r="F31" i="39"/>
  <c r="S31" i="39"/>
  <c r="L31" i="39"/>
  <c r="N31" i="39"/>
  <c r="Q31" i="39"/>
  <c r="I31" i="39"/>
  <c r="M31" i="39"/>
  <c r="R28" i="37"/>
  <c r="Q28" i="37"/>
  <c r="M28" i="37"/>
  <c r="P28" i="37"/>
  <c r="L28" i="37"/>
  <c r="K28" i="37"/>
  <c r="I28" i="37"/>
  <c r="F28" i="37"/>
  <c r="G28" i="37"/>
  <c r="H28" i="37"/>
  <c r="S28" i="37"/>
  <c r="N28" i="37"/>
  <c r="R29" i="37"/>
  <c r="F29" i="37"/>
  <c r="M29" i="37"/>
  <c r="L29" i="37"/>
  <c r="I29" i="37"/>
  <c r="P29" i="37"/>
  <c r="H29" i="37"/>
  <c r="Q29" i="37"/>
  <c r="K29" i="37"/>
  <c r="N29" i="37"/>
  <c r="S29" i="37"/>
  <c r="G29" i="37"/>
  <c r="R24" i="37"/>
  <c r="I24" i="37"/>
  <c r="K24" i="37"/>
  <c r="H24" i="37"/>
  <c r="S24" i="37"/>
  <c r="G24" i="37"/>
  <c r="F24" i="37"/>
  <c r="Q24" i="37"/>
  <c r="M24" i="37"/>
  <c r="L24" i="37"/>
  <c r="P24" i="37"/>
  <c r="N24" i="37"/>
  <c r="Q21" i="37"/>
  <c r="F21" i="37"/>
  <c r="N21" i="37"/>
  <c r="I21" i="37"/>
  <c r="P21" i="37"/>
  <c r="K21" i="37"/>
  <c r="R21" i="37"/>
  <c r="H21" i="37"/>
  <c r="S21" i="37"/>
  <c r="M21" i="37"/>
  <c r="L21" i="37"/>
  <c r="G21" i="37"/>
  <c r="R25" i="37"/>
  <c r="P25" i="37"/>
  <c r="Q25" i="37"/>
  <c r="K25" i="37"/>
  <c r="M25" i="37"/>
  <c r="F25" i="37"/>
  <c r="L25" i="37"/>
  <c r="H25" i="37"/>
  <c r="I25" i="37"/>
  <c r="N25" i="37"/>
  <c r="G25" i="37"/>
  <c r="S25" i="37"/>
  <c r="N31" i="37"/>
  <c r="K31" i="37"/>
  <c r="F31" i="37"/>
  <c r="P31" i="37"/>
  <c r="R31" i="37"/>
  <c r="I31" i="37"/>
  <c r="L31" i="37"/>
  <c r="H31" i="37"/>
  <c r="S31" i="37"/>
  <c r="Q31" i="37"/>
  <c r="M31" i="37"/>
  <c r="G31" i="37"/>
  <c r="R28" i="39"/>
  <c r="Q28" i="39"/>
  <c r="F28" i="39"/>
  <c r="M28" i="39"/>
  <c r="L28" i="39"/>
  <c r="P28" i="39"/>
  <c r="I28" i="39"/>
  <c r="H28" i="39"/>
  <c r="G28" i="39"/>
  <c r="K28" i="39"/>
  <c r="S28" i="39"/>
  <c r="N28" i="39"/>
  <c r="K16" i="39"/>
  <c r="O16" i="39" s="1"/>
  <c r="P16" i="39"/>
  <c r="F16" i="39"/>
  <c r="I16" i="39" s="1"/>
  <c r="M16" i="39"/>
  <c r="L16" i="39"/>
  <c r="S16" i="39"/>
  <c r="N16" i="39"/>
  <c r="K15" i="37"/>
  <c r="L15" i="37" s="1"/>
  <c r="P15" i="37"/>
  <c r="F15" i="37"/>
  <c r="F16" i="37"/>
  <c r="K16" i="37"/>
  <c r="P16" i="37"/>
  <c r="P15" i="39"/>
  <c r="F15" i="39"/>
  <c r="K15" i="39"/>
  <c r="N15" i="39" s="1"/>
  <c r="P13" i="39"/>
  <c r="T13" i="39" s="1"/>
  <c r="K13" i="39"/>
  <c r="O13" i="39" s="1"/>
  <c r="F13" i="39"/>
  <c r="J13" i="39" s="1"/>
  <c r="M13" i="39"/>
  <c r="P18" i="37"/>
  <c r="F18" i="37"/>
  <c r="K18" i="37"/>
  <c r="M18" i="37" s="1"/>
  <c r="F17" i="37"/>
  <c r="K17" i="37"/>
  <c r="N17" i="37" s="1"/>
  <c r="P17" i="37"/>
  <c r="F13" i="37"/>
  <c r="G13" i="37" s="1"/>
  <c r="P13" i="37"/>
  <c r="R13" i="37" s="1"/>
  <c r="K13" i="37"/>
  <c r="M13" i="37" s="1"/>
  <c r="F18" i="39"/>
  <c r="K18" i="39"/>
  <c r="L18" i="39" s="1"/>
  <c r="P18" i="39"/>
  <c r="F17" i="39"/>
  <c r="K17" i="39"/>
  <c r="P17" i="39"/>
  <c r="C11" i="39"/>
  <c r="C11" i="37"/>
  <c r="C10" i="39"/>
  <c r="C10" i="37"/>
  <c r="S19" i="1"/>
  <c r="M19" i="1"/>
  <c r="R19" i="1"/>
  <c r="L19" i="1"/>
  <c r="Q19" i="1"/>
  <c r="H19" i="1"/>
  <c r="P19" i="1"/>
  <c r="N19" i="1"/>
  <c r="G19" i="1"/>
  <c r="K19" i="1"/>
  <c r="I19" i="1"/>
  <c r="F19" i="1"/>
  <c r="P14" i="1"/>
  <c r="H14" i="1"/>
  <c r="K14" i="1"/>
  <c r="I14" i="1"/>
  <c r="F14" i="1"/>
  <c r="R28" i="1"/>
  <c r="L28" i="1"/>
  <c r="Q28" i="1"/>
  <c r="K28" i="1"/>
  <c r="M28" i="1"/>
  <c r="S28" i="1"/>
  <c r="H28" i="1"/>
  <c r="N28" i="1"/>
  <c r="G28" i="1"/>
  <c r="P28" i="1"/>
  <c r="I28" i="1"/>
  <c r="F28" i="1"/>
  <c r="P15" i="1"/>
  <c r="S15" i="1" s="1"/>
  <c r="F15" i="1"/>
  <c r="K15" i="1"/>
  <c r="Q21" i="1"/>
  <c r="K21" i="1"/>
  <c r="P21" i="1"/>
  <c r="N21" i="1"/>
  <c r="M21" i="1"/>
  <c r="L21" i="1"/>
  <c r="R21" i="1"/>
  <c r="H21" i="1"/>
  <c r="S21" i="1"/>
  <c r="G21" i="1"/>
  <c r="I21" i="1"/>
  <c r="F21" i="1"/>
  <c r="R20" i="1"/>
  <c r="L20" i="1"/>
  <c r="Q20" i="1"/>
  <c r="K20" i="1"/>
  <c r="M20" i="1"/>
  <c r="S20" i="1"/>
  <c r="H20" i="1"/>
  <c r="N20" i="1"/>
  <c r="G20" i="1"/>
  <c r="P20" i="1"/>
  <c r="I20" i="1"/>
  <c r="F20" i="1"/>
  <c r="E13" i="1"/>
  <c r="D13" i="1"/>
  <c r="P26" i="1"/>
  <c r="N26" i="1"/>
  <c r="S26" i="1"/>
  <c r="M26" i="1"/>
  <c r="Q26" i="1"/>
  <c r="L26" i="1"/>
  <c r="H26" i="1"/>
  <c r="R26" i="1"/>
  <c r="G26" i="1"/>
  <c r="I26" i="1"/>
  <c r="K26" i="1"/>
  <c r="F26" i="1"/>
  <c r="S31" i="1"/>
  <c r="M31" i="1"/>
  <c r="R31" i="1"/>
  <c r="L31" i="1"/>
  <c r="Q31" i="1"/>
  <c r="H31" i="1"/>
  <c r="P31" i="1"/>
  <c r="N31" i="1"/>
  <c r="G31" i="1"/>
  <c r="K31" i="1"/>
  <c r="I31" i="1"/>
  <c r="F31" i="1"/>
  <c r="Q25" i="1"/>
  <c r="K25" i="1"/>
  <c r="P25" i="1"/>
  <c r="N25" i="1"/>
  <c r="M25" i="1"/>
  <c r="L25" i="1"/>
  <c r="R25" i="1"/>
  <c r="S25" i="1"/>
  <c r="G25" i="1"/>
  <c r="H25" i="1"/>
  <c r="I25" i="1"/>
  <c r="F25" i="1"/>
  <c r="K16" i="1"/>
  <c r="P16" i="1"/>
  <c r="F16" i="1"/>
  <c r="I16" i="1" s="1"/>
  <c r="P30" i="1"/>
  <c r="N30" i="1"/>
  <c r="S30" i="1"/>
  <c r="M30" i="1"/>
  <c r="Q30" i="1"/>
  <c r="L30" i="1"/>
  <c r="H30" i="1"/>
  <c r="R30" i="1"/>
  <c r="K30" i="1"/>
  <c r="G30" i="1"/>
  <c r="I30" i="1"/>
  <c r="F30" i="1"/>
  <c r="P18" i="1"/>
  <c r="K18" i="1"/>
  <c r="F18" i="1"/>
  <c r="R24" i="1"/>
  <c r="L24" i="1"/>
  <c r="Q24" i="1"/>
  <c r="K24" i="1"/>
  <c r="M24" i="1"/>
  <c r="S24" i="1"/>
  <c r="N24" i="1"/>
  <c r="H24" i="1"/>
  <c r="G24" i="1"/>
  <c r="P24" i="1"/>
  <c r="I24" i="1"/>
  <c r="F24" i="1"/>
  <c r="K17" i="1"/>
  <c r="P17" i="1"/>
  <c r="R17" i="1" s="1"/>
  <c r="F17" i="1"/>
  <c r="S27" i="1"/>
  <c r="M27" i="1"/>
  <c r="R27" i="1"/>
  <c r="L27" i="1"/>
  <c r="Q27" i="1"/>
  <c r="H27" i="1"/>
  <c r="P27" i="1"/>
  <c r="N27" i="1"/>
  <c r="G27" i="1"/>
  <c r="K27" i="1"/>
  <c r="I27" i="1"/>
  <c r="F27" i="1"/>
  <c r="P22" i="1"/>
  <c r="N22" i="1"/>
  <c r="S22" i="1"/>
  <c r="M22" i="1"/>
  <c r="Q22" i="1"/>
  <c r="L22" i="1"/>
  <c r="H22" i="1"/>
  <c r="R22" i="1"/>
  <c r="K22" i="1"/>
  <c r="G22" i="1"/>
  <c r="I22" i="1"/>
  <c r="F22" i="1"/>
  <c r="P13" i="1"/>
  <c r="T13" i="1" s="1"/>
  <c r="K13" i="1"/>
  <c r="O13" i="1" s="1"/>
  <c r="S23" i="1"/>
  <c r="M23" i="1"/>
  <c r="R23" i="1"/>
  <c r="L23" i="1"/>
  <c r="Q23" i="1"/>
  <c r="H23" i="1"/>
  <c r="P23" i="1"/>
  <c r="N23" i="1"/>
  <c r="G23" i="1"/>
  <c r="K23" i="1"/>
  <c r="I23" i="1"/>
  <c r="F23" i="1"/>
  <c r="Q29" i="1"/>
  <c r="K29" i="1"/>
  <c r="P29" i="1"/>
  <c r="N29" i="1"/>
  <c r="M29" i="1"/>
  <c r="L29" i="1"/>
  <c r="R29" i="1"/>
  <c r="S29" i="1"/>
  <c r="G29" i="1"/>
  <c r="I29" i="1"/>
  <c r="H29" i="1"/>
  <c r="F29" i="1"/>
  <c r="F13" i="1"/>
  <c r="H13" i="1" s="1"/>
  <c r="C10" i="1"/>
  <c r="C11" i="1"/>
  <c r="F29" i="9"/>
  <c r="F25" i="9"/>
  <c r="F31" i="9"/>
  <c r="F20" i="9"/>
  <c r="F18" i="9"/>
  <c r="F19" i="9"/>
  <c r="F16" i="9"/>
  <c r="F28" i="9"/>
  <c r="F21" i="9"/>
  <c r="F22" i="9"/>
  <c r="F23" i="9"/>
  <c r="F24" i="9"/>
  <c r="F17" i="9"/>
  <c r="D11" i="9"/>
  <c r="E11" i="9" s="1"/>
  <c r="H13" i="37" l="1"/>
  <c r="R13" i="39"/>
  <c r="N15" i="37"/>
  <c r="N18" i="39"/>
  <c r="L13" i="39"/>
  <c r="S17" i="39"/>
  <c r="T17" i="39"/>
  <c r="Q18" i="39"/>
  <c r="T18" i="39"/>
  <c r="Q16" i="39"/>
  <c r="T16" i="39"/>
  <c r="Q15" i="39"/>
  <c r="T15" i="39"/>
  <c r="M15" i="39"/>
  <c r="O15" i="39"/>
  <c r="M17" i="39"/>
  <c r="O17" i="39"/>
  <c r="M18" i="39"/>
  <c r="O18" i="39"/>
  <c r="I18" i="39"/>
  <c r="J18" i="39"/>
  <c r="I15" i="39"/>
  <c r="J15" i="39"/>
  <c r="G16" i="39"/>
  <c r="J16" i="39"/>
  <c r="I17" i="39"/>
  <c r="J17" i="39"/>
  <c r="R16" i="37"/>
  <c r="T16" i="37"/>
  <c r="S18" i="37"/>
  <c r="T18" i="37"/>
  <c r="S15" i="37"/>
  <c r="T15" i="37"/>
  <c r="R17" i="37"/>
  <c r="T17" i="37"/>
  <c r="L17" i="37"/>
  <c r="O17" i="37"/>
  <c r="L16" i="37"/>
  <c r="O16" i="37"/>
  <c r="N18" i="37"/>
  <c r="O18" i="37"/>
  <c r="M15" i="37"/>
  <c r="O15" i="37"/>
  <c r="I17" i="37"/>
  <c r="J17" i="37"/>
  <c r="I18" i="37"/>
  <c r="J18" i="37"/>
  <c r="I15" i="37"/>
  <c r="J15" i="37"/>
  <c r="I16" i="37"/>
  <c r="J16" i="37"/>
  <c r="R14" i="1"/>
  <c r="T14" i="1"/>
  <c r="S17" i="1"/>
  <c r="T17" i="1"/>
  <c r="R15" i="1"/>
  <c r="T15" i="1"/>
  <c r="S16" i="1"/>
  <c r="T16" i="1"/>
  <c r="R18" i="1"/>
  <c r="T18" i="1"/>
  <c r="N18" i="1"/>
  <c r="O18" i="1"/>
  <c r="L16" i="1"/>
  <c r="O16" i="1"/>
  <c r="M17" i="1"/>
  <c r="O17" i="1"/>
  <c r="M14" i="1"/>
  <c r="O14" i="1"/>
  <c r="L15" i="1"/>
  <c r="O15" i="1"/>
  <c r="H16" i="1"/>
  <c r="J16" i="1"/>
  <c r="H17" i="1"/>
  <c r="J17" i="1"/>
  <c r="I18" i="1"/>
  <c r="J18" i="1"/>
  <c r="G16" i="1"/>
  <c r="G14" i="1"/>
  <c r="J14" i="1"/>
  <c r="I15" i="1"/>
  <c r="J15" i="1"/>
  <c r="G18" i="1"/>
  <c r="S18" i="39"/>
  <c r="H18" i="37"/>
  <c r="H18" i="1"/>
  <c r="H18" i="39"/>
  <c r="R18" i="39"/>
  <c r="S17" i="37"/>
  <c r="G17" i="37"/>
  <c r="L17" i="1"/>
  <c r="N17" i="39"/>
  <c r="G16" i="37"/>
  <c r="M16" i="1"/>
  <c r="M16" i="37"/>
  <c r="L15" i="39"/>
  <c r="Q15" i="1"/>
  <c r="L13" i="37"/>
  <c r="G18" i="39"/>
  <c r="G18" i="37"/>
  <c r="Q18" i="1"/>
  <c r="S18" i="1"/>
  <c r="Q18" i="37"/>
  <c r="G17" i="1"/>
  <c r="N17" i="1"/>
  <c r="M17" i="37"/>
  <c r="H17" i="37"/>
  <c r="I17" i="1"/>
  <c r="H16" i="37"/>
  <c r="Q16" i="37"/>
  <c r="S16" i="37"/>
  <c r="Q16" i="1"/>
  <c r="N16" i="1"/>
  <c r="R16" i="1"/>
  <c r="N16" i="37"/>
  <c r="H16" i="39"/>
  <c r="H15" i="39"/>
  <c r="S15" i="39"/>
  <c r="G15" i="39"/>
  <c r="R15" i="39"/>
  <c r="Q14" i="1"/>
  <c r="Q13" i="39"/>
  <c r="Q17" i="1"/>
  <c r="S14" i="1"/>
  <c r="R17" i="39"/>
  <c r="Q17" i="39"/>
  <c r="R18" i="37"/>
  <c r="H15" i="37"/>
  <c r="M18" i="1"/>
  <c r="G15" i="1"/>
  <c r="H15" i="1"/>
  <c r="M15" i="1"/>
  <c r="L14" i="1"/>
  <c r="N14" i="1"/>
  <c r="H17" i="39"/>
  <c r="G17" i="39"/>
  <c r="O13" i="37"/>
  <c r="N13" i="37"/>
  <c r="L18" i="37"/>
  <c r="G13" i="39"/>
  <c r="I13" i="39"/>
  <c r="G15" i="37"/>
  <c r="R15" i="37"/>
  <c r="T13" i="37"/>
  <c r="S13" i="37"/>
  <c r="S13" i="39"/>
  <c r="L18" i="1"/>
  <c r="N15" i="1"/>
  <c r="L17" i="39"/>
  <c r="Q13" i="37"/>
  <c r="J13" i="37"/>
  <c r="I13" i="37"/>
  <c r="Q17" i="37"/>
  <c r="H13" i="39"/>
  <c r="Q15" i="37"/>
  <c r="R16" i="39"/>
  <c r="N13" i="39"/>
  <c r="E11" i="37"/>
  <c r="D11" i="37"/>
  <c r="E11" i="39"/>
  <c r="D11" i="39"/>
  <c r="M13" i="1"/>
  <c r="N13" i="1"/>
  <c r="L13" i="1"/>
  <c r="E11" i="1"/>
  <c r="D11" i="1"/>
  <c r="R13" i="1"/>
  <c r="Q13" i="1"/>
  <c r="S13" i="1"/>
  <c r="G13" i="1"/>
  <c r="J13" i="1"/>
  <c r="I13" i="1"/>
  <c r="C60" i="21"/>
  <c r="T62" i="39" l="1"/>
  <c r="T65" i="39" s="1"/>
  <c r="L62" i="39"/>
  <c r="L65" i="39" s="1"/>
  <c r="R62" i="37"/>
  <c r="R65" i="37" s="1"/>
  <c r="M62" i="39"/>
  <c r="M65" i="39" s="1"/>
  <c r="O62" i="39"/>
  <c r="O65" i="39" s="1"/>
  <c r="I62" i="39"/>
  <c r="I65" i="39" s="1"/>
  <c r="O62" i="37"/>
  <c r="O65" i="37" s="1"/>
  <c r="J62" i="39"/>
  <c r="J65" i="39" s="1"/>
  <c r="T62" i="37"/>
  <c r="T65" i="37" s="1"/>
  <c r="I62" i="37"/>
  <c r="I65" i="37" s="1"/>
  <c r="J62" i="37"/>
  <c r="J65" i="37" s="1"/>
  <c r="T62" i="1"/>
  <c r="T65" i="1" s="1"/>
  <c r="O62" i="1"/>
  <c r="O65" i="1" s="1"/>
  <c r="G62" i="1"/>
  <c r="G65" i="1" s="1"/>
  <c r="G62" i="37"/>
  <c r="G65" i="37" s="1"/>
  <c r="L62" i="37"/>
  <c r="L65" i="37" s="1"/>
  <c r="Q62" i="39"/>
  <c r="Q65" i="39" s="1"/>
  <c r="R62" i="1"/>
  <c r="R65" i="1" s="1"/>
  <c r="Q62" i="37"/>
  <c r="Q65" i="37" s="1"/>
  <c r="G62" i="39"/>
  <c r="G65" i="39" s="1"/>
  <c r="M62" i="1"/>
  <c r="M65" i="1" s="1"/>
  <c r="S62" i="39"/>
  <c r="S65" i="39" s="1"/>
  <c r="H62" i="37"/>
  <c r="H65" i="37" s="1"/>
  <c r="M62" i="37"/>
  <c r="M65" i="37" s="1"/>
  <c r="N62" i="39"/>
  <c r="N65" i="39" s="1"/>
  <c r="S62" i="37"/>
  <c r="S65" i="37" s="1"/>
  <c r="N62" i="37"/>
  <c r="N65" i="37" s="1"/>
  <c r="R62" i="39"/>
  <c r="R65" i="39" s="1"/>
  <c r="H62" i="39"/>
  <c r="H65" i="39" s="1"/>
  <c r="Q62" i="1"/>
  <c r="Q65" i="1" s="1"/>
  <c r="L62" i="1"/>
  <c r="L65" i="1" s="1"/>
  <c r="N62" i="1"/>
  <c r="N65" i="1" s="1"/>
  <c r="S62" i="1"/>
  <c r="S65" i="1" s="1"/>
  <c r="D62" i="1"/>
  <c r="D65" i="1" s="1"/>
  <c r="J62" i="1"/>
  <c r="J65" i="1" s="1"/>
  <c r="E62" i="1"/>
  <c r="E65" i="1" s="1"/>
  <c r="I62" i="1" l="1"/>
  <c r="I65" i="1" s="1"/>
  <c r="H62" i="1"/>
  <c r="H65" i="1" s="1"/>
</calcChain>
</file>

<file path=xl/sharedStrings.xml><?xml version="1.0" encoding="utf-8"?>
<sst xmlns="http://schemas.openxmlformats.org/spreadsheetml/2006/main" count="2014" uniqueCount="1024">
  <si>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</si>
  <si>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</si>
  <si>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</si>
  <si>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</si>
  <si>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</si>
  <si>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</si>
  <si>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</si>
  <si>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</si>
  <si>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</si>
  <si>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</si>
  <si>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</si>
  <si>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</si>
  <si>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</si>
  <si>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</si>
  <si>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</si>
  <si>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</si>
  <si>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</si>
  <si>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</si>
  <si>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</si>
  <si>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</si>
  <si>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</si>
  <si>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</si>
  <si>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</si>
  <si>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</si>
  <si>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</si>
  <si>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</si>
  <si>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</si>
  <si>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</si>
  <si>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</si>
  <si>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</si>
  <si>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</si>
  <si>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</si>
  <si>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</si>
  <si>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</si>
  <si>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</si>
  <si>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</si>
  <si>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</si>
  <si>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</si>
  <si>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</si>
  <si>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</si>
  <si>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</si>
  <si>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</si>
  <si>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</si>
  <si>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</si>
  <si>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</si>
  <si>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</si>
  <si>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</si>
  <si>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</si>
  <si>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</si>
  <si>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</si>
  <si>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</si>
  <si>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</si>
  <si>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</si>
  <si>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</si>
  <si>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</si>
  <si>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</si>
  <si>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</si>
  <si>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</si>
  <si>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</si>
  <si>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</si>
  <si>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</si>
  <si>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</si>
  <si>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</si>
  <si>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</si>
  <si>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</si>
  <si>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</si>
  <si>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</si>
  <si>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</si>
  <si>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</si>
  <si>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</si>
  <si>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</si>
  <si>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</si>
  <si>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</si>
  <si>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</si>
  <si>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</si>
  <si>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</si>
  <si>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</si>
  <si>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</si>
  <si>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</si>
  <si>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</si>
  <si>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</si>
  <si>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</si>
  <si>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</si>
  <si>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</si>
  <si>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</si>
  <si>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</si>
  <si>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</si>
  <si>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</si>
  <si>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</si>
  <si>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</si>
  <si>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</si>
  <si>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</si>
  <si>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</si>
  <si>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</si>
  <si>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</si>
  <si>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</si>
  <si>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</si>
  <si>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</si>
  <si>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</si>
  <si>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</si>
  <si>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</si>
  <si>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</si>
  <si>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</si>
  <si>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</si>
  <si>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</si>
  <si>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</si>
  <si>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</si>
  <si>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</si>
  <si>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</si>
  <si>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</si>
  <si>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</si>
  <si>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</si>
  <si>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</si>
  <si>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</si>
  <si>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</si>
  <si>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</si>
  <si>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</si>
  <si>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</si>
  <si>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</si>
  <si>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</si>
  <si>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</si>
  <si>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</si>
  <si>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</si>
  <si>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</si>
  <si>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</si>
  <si>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</si>
  <si>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</si>
  <si>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</si>
  <si>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</si>
  <si>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</si>
  <si>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</si>
  <si>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</si>
  <si>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</si>
  <si>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</si>
  <si>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</si>
  <si>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</si>
  <si>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</si>
  <si>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</si>
  <si>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</si>
  <si>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</si>
  <si>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</si>
  <si>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</si>
  <si>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</si>
  <si>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</si>
  <si>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</si>
  <si>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</si>
  <si>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</si>
  <si>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</si>
  <si>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</si>
  <si>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</si>
  <si>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</si>
  <si>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</si>
  <si>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</si>
  <si>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</si>
  <si>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</si>
  <si>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</si>
  <si>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</si>
  <si>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</si>
  <si>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</si>
  <si>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</si>
  <si>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</si>
  <si>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</si>
  <si>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</si>
  <si>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</si>
  <si>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</si>
  <si>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</si>
  <si>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</si>
  <si>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</si>
  <si>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</si>
  <si>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</si>
  <si>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</si>
  <si>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</si>
  <si>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</si>
  <si>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</si>
  <si>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</si>
  <si>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</si>
  <si>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</si>
  <si>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</si>
  <si>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</si>
  <si>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</si>
  <si>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</si>
  <si>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</si>
  <si>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</si>
  <si>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</si>
  <si>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</si>
  <si>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</si>
  <si>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</si>
  <si>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</si>
  <si>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</si>
  <si>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</si>
  <si>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</si>
  <si>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</si>
  <si>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</si>
  <si>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</si>
  <si>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</si>
  <si>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</si>
  <si>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</si>
  <si>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</si>
  <si>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</si>
  <si>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</si>
  <si>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</si>
  <si>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</si>
  <si>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</si>
  <si>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</si>
  <si>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</si>
  <si>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</si>
  <si>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</si>
  <si>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</si>
  <si>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</si>
  <si>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</si>
  <si>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</si>
  <si>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</si>
  <si>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</si>
  <si>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</si>
  <si>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</si>
  <si>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</si>
  <si>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</si>
  <si>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</si>
  <si>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</si>
  <si>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</si>
  <si>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</si>
  <si>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</si>
  <si>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</si>
  <si>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</si>
  <si>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</si>
  <si>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</si>
  <si>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</si>
  <si>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</si>
  <si>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</si>
  <si>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</si>
  <si>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</si>
  <si>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</si>
  <si>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</si>
  <si>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</si>
  <si>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</si>
  <si>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</si>
  <si>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</si>
  <si>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</si>
  <si>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</si>
  <si>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</si>
  <si>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</si>
  <si>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</si>
  <si>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</si>
  <si>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</si>
  <si>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</si>
  <si>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</si>
  <si>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</si>
  <si>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</si>
  <si>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</si>
  <si>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</si>
  <si>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</si>
  <si>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</si>
  <si>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</si>
  <si>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</si>
  <si>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</si>
  <si>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</si>
  <si>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</si>
  <si>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</si>
  <si>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</si>
  <si>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</si>
  <si>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</si>
  <si>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</si>
  <si>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</si>
  <si>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</si>
  <si>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</si>
  <si>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</si>
  <si>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</si>
  <si>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</si>
  <si>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</si>
  <si>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</si>
  <si>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</si>
  <si>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</si>
  <si>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</si>
  <si>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</si>
  <si>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</si>
  <si>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</si>
  <si>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</si>
  <si>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</si>
  <si>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</si>
  <si>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</si>
  <si>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</si>
  <si>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</si>
  <si>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</si>
  <si>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</si>
  <si>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</si>
  <si>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</si>
  <si>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</si>
  <si>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</si>
  <si>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</si>
  <si>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</si>
  <si>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</si>
  <si>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</si>
  <si>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</si>
  <si>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</si>
  <si>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</si>
  <si>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</si>
  <si>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</si>
  <si>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</si>
  <si>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</si>
  <si>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</si>
  <si>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</si>
  <si>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</si>
  <si>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</si>
  <si>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</si>
  <si>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</si>
  <si>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</si>
  <si>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</si>
  <si>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</si>
  <si>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</si>
  <si>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</si>
  <si>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</si>
  <si>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</si>
  <si>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</si>
  <si>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</si>
  <si>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</si>
  <si>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</si>
  <si>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</si>
  <si>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</si>
  <si>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</si>
  <si>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</si>
  <si>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</si>
  <si>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</si>
  <si>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</si>
  <si>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</si>
  <si>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</si>
  <si>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</si>
  <si>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</si>
  <si>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</si>
  <si>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</si>
  <si>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</si>
  <si>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</si>
  <si>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</si>
  <si>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</si>
  <si>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</si>
  <si>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</si>
  <si>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</si>
  <si>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</si>
  <si>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</si>
  <si>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</si>
  <si>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</si>
  <si>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</si>
  <si>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</si>
  <si>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</si>
  <si>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</si>
  <si>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</si>
  <si>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</si>
  <si>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</si>
  <si>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</si>
  <si>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</si>
  <si>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</si>
  <si>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</si>
  <si>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</si>
  <si>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</si>
  <si>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</si>
  <si>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</si>
  <si>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</si>
  <si>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</si>
  <si>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</si>
  <si>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</si>
  <si>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</si>
  <si>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</si>
  <si>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</si>
  <si>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</si>
  <si>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</si>
  <si>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</si>
  <si>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</si>
  <si>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</si>
  <si>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</si>
  <si>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</si>
  <si>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</si>
  <si>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</si>
  <si>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</si>
  <si>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</si>
  <si>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</si>
  <si>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</si>
  <si>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</si>
  <si>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</si>
  <si>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</si>
  <si>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</si>
  <si>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</si>
  <si>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</si>
  <si>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</si>
  <si>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</si>
  <si>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</si>
  <si>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</si>
  <si>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</si>
  <si>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</si>
  <si>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</si>
  <si>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</si>
  <si>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</si>
  <si>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</si>
  <si>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</si>
  <si>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</si>
  <si>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</si>
  <si>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</si>
  <si>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</si>
  <si>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</si>
  <si>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</si>
  <si>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</si>
  <si>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</si>
  <si>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</si>
  <si>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</si>
  <si>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</si>
  <si>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</si>
  <si>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</si>
  <si>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</si>
  <si>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</si>
  <si>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</si>
  <si>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</si>
  <si>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</si>
  <si>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</si>
  <si>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</si>
  <si>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</si>
  <si>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</si>
  <si>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</si>
  <si>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</si>
  <si>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</si>
  <si>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</si>
  <si>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</si>
  <si>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</si>
  <si>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</si>
  <si>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</si>
  <si>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</si>
  <si>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</si>
  <si>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</si>
  <si>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</si>
  <si>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</si>
  <si>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</si>
  <si>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</si>
  <si>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</si>
  <si>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</si>
  <si>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</si>
  <si>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</si>
  <si>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</si>
  <si>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</si>
  <si>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</si>
  <si>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</si>
  <si>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</si>
  <si>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</si>
  <si>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</si>
  <si>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</si>
  <si>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</si>
  <si>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</si>
  <si>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</si>
  <si>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</si>
  <si>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</si>
  <si>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</si>
  <si>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</si>
  <si>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</si>
  <si>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</si>
  <si>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</si>
  <si>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</si>
  <si>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</si>
  <si>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</si>
  <si>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</si>
  <si>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</si>
  <si>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</si>
  <si>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</si>
  <si>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</si>
  <si>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</si>
  <si>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</si>
  <si>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</si>
  <si>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</si>
  <si>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</si>
  <si>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</si>
  <si>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</si>
  <si>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</si>
  <si>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</si>
  <si>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</si>
  <si>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</si>
  <si>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</si>
  <si>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</si>
  <si>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</si>
  <si>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</si>
  <si>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</si>
  <si>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</si>
  <si>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</si>
  <si>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</si>
  <si>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</si>
  <si>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</si>
  <si>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</si>
  <si>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</si>
  <si>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</si>
  <si>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</si>
  <si>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</si>
  <si>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</si>
  <si>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</si>
  <si>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</si>
  <si>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</si>
  <si>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</si>
  <si>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</si>
  <si>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</si>
  <si>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</si>
  <si>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</si>
  <si>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</si>
  <si>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</si>
  <si>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</si>
  <si>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</si>
  <si>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</si>
  <si>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</si>
  <si>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</si>
  <si>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</si>
  <si>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</si>
  <si>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</si>
  <si>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</si>
  <si>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</si>
  <si>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</si>
  <si>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</si>
  <si>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</si>
  <si>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</si>
  <si>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</si>
  <si>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</si>
  <si>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</si>
  <si>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</si>
  <si>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</si>
  <si>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</si>
  <si>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</si>
  <si>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</si>
  <si>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</si>
  <si>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</si>
  <si>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</si>
  <si>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</si>
  <si>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</si>
  <si>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</si>
  <si>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</si>
  <si>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</si>
  <si>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</si>
  <si>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</si>
  <si>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</si>
  <si>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</si>
  <si>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</si>
  <si>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</si>
  <si>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</si>
  <si>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</si>
  <si>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</si>
  <si>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</si>
  <si>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</si>
  <si>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</si>
  <si>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</si>
  <si>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</si>
  <si>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</si>
  <si>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</si>
  <si>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</si>
  <si>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</si>
  <si>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</si>
  <si>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</si>
  <si>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</si>
  <si>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</si>
  <si>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</si>
  <si>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</si>
  <si>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</si>
  <si>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</si>
  <si>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</si>
  <si>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</si>
  <si>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</si>
  <si>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</si>
  <si>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</si>
  <si>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</si>
  <si>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</si>
  <si>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</si>
  <si>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</si>
  <si>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</si>
  <si>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</si>
  <si>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</si>
  <si>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</si>
  <si>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</si>
  <si>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</si>
  <si>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</si>
  <si>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</si>
  <si>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</si>
  <si>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</si>
  <si>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</si>
  <si>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</si>
  <si>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</si>
  <si>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</si>
  <si>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</si>
  <si>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</si>
  <si>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</si>
  <si>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</si>
  <si>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</si>
  <si>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</si>
  <si>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</si>
  <si>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</si>
  <si>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</si>
  <si>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</si>
  <si>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</si>
  <si>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</si>
  <si>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</si>
  <si>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</si>
  <si>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</si>
  <si>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</si>
  <si>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</si>
  <si>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</si>
  <si>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</si>
  <si>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</si>
  <si>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</si>
  <si>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</si>
  <si>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</si>
  <si>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</si>
  <si>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</si>
  <si>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</si>
  <si>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</si>
  <si>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</si>
  <si>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</si>
  <si>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</si>
  <si>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</si>
  <si>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</si>
  <si>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</si>
  <si>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</si>
  <si>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</si>
  <si>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</si>
  <si>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</si>
  <si>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</si>
  <si>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</si>
  <si>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</si>
  <si>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</si>
  <si>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</si>
  <si>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</si>
  <si>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</si>
  <si>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</si>
  <si>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</si>
  <si>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</si>
  <si>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</si>
  <si>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</si>
  <si>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</si>
  <si>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</si>
  <si>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</si>
  <si>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</si>
  <si>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</si>
  <si>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</si>
  <si>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</si>
  <si>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</si>
  <si>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</si>
  <si>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</si>
  <si>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</si>
  <si>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</si>
  <si>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</si>
  <si>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</si>
  <si>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</si>
  <si>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</si>
  <si>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</si>
  <si>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</si>
  <si>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>Detergents Ingredients Database, version 2016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</si>
  <si>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</si>
  <si>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</si>
  <si>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</si>
  <si>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</si>
  <si>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</si>
  <si>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C 16-18 Alkyl ether sulphate, ≥1 - ≤ 4 EO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</si>
  <si>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</si>
  <si>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</si>
  <si>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</si>
  <si>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Soap C&gt;12-22 (Remark: fatty acids are listed in DID 2520)</t>
  </si>
  <si>
    <t>C12-18,   ≥2 - ≤10 EO Carboxymethylated, sodium salt or acid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</si>
  <si>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</si>
  <si>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</si>
  <si>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</si>
  <si>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</si>
  <si>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</si>
  <si>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</si>
  <si>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</si>
  <si>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</si>
  <si>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</si>
  <si>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</si>
  <si>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r>
      <t>iso-C13 Alcohol, &gt;2,5 - ≤6</t>
    </r>
    <r>
      <rPr>
        <sz val="8.1"/>
        <color theme="1"/>
        <rFont val="Arial"/>
        <family val="2"/>
      </rPr>
      <t xml:space="preserve"> EO</t>
    </r>
  </si>
  <si>
    <r>
      <t>iso-C13 Alcohol, ≥7 - &lt;20</t>
    </r>
    <r>
      <rPr>
        <sz val="8.1"/>
        <color theme="1"/>
        <rFont val="Arial"/>
        <family val="2"/>
      </rPr>
      <t xml:space="preserve"> EO</t>
    </r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</si>
  <si>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</si>
  <si>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</si>
  <si>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</si>
  <si>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</si>
  <si>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</si>
  <si>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</si>
  <si>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</si>
  <si>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</si>
  <si>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</si>
  <si>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</si>
  <si>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</si>
  <si>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</si>
  <si>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</si>
  <si>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</si>
  <si>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</si>
  <si>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C 12-14 Alkyl polyglycoside</t>
  </si>
  <si>
    <t>C 16-18 Alkyl polyglycoside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</si>
  <si>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</si>
  <si>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</si>
  <si>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</si>
  <si>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</si>
  <si>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</si>
  <si>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</si>
  <si>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</si>
  <si>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</si>
  <si>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</si>
  <si>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</si>
  <si>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</si>
  <si>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Zeolite                   (Insoluble Inorganic)     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</si>
  <si>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</si>
  <si>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</si>
  <si>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</si>
  <si>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</si>
  <si>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Silicon dioxide, quartz          (Insoluble inorganic)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</si>
  <si>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</si>
  <si>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</si>
  <si>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  <family val="2"/>
      </rPr>
      <t/>
    </r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</si>
  <si>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</si>
  <si>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</si>
  <si>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</si>
  <si>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</si>
  <si>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</si>
  <si>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</si>
  <si>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</si>
  <si>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</si>
  <si>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</si>
  <si>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</si>
  <si>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</si>
  <si>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</si>
  <si>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(2017/xxx/EU) Hard surface cleaning products</t>
  </si>
  <si>
    <t>(2017/xxx/EU) Dishwasher detergents</t>
  </si>
  <si>
    <t>(2017/xxx/EU) Laundry detergents</t>
  </si>
  <si>
    <t>(2017/xxx/EU) Hand dishwashing detergents</t>
  </si>
  <si>
    <t>Rinse aid</t>
  </si>
  <si>
    <t>Stain remover (pre-treatment only)</t>
  </si>
  <si>
    <t>Beschluss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</si>
  <si>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</si>
  <si>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</si>
  <si>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</si>
  <si>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</si>
  <si>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</si>
  <si>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</si>
  <si>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</si>
  <si>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</si>
  <si>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</si>
  <si>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</si>
  <si>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</si>
  <si>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</si>
  <si>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</si>
  <si>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</si>
  <si>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</si>
  <si>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</si>
  <si>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</si>
  <si>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</si>
  <si>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</si>
  <si>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</si>
  <si>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</si>
  <si>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</si>
  <si>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</si>
  <si>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</si>
  <si>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</si>
  <si>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</si>
  <si>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</si>
  <si>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</si>
  <si>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</si>
  <si>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</si>
  <si>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</si>
  <si>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</si>
  <si>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</si>
  <si>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</si>
  <si>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</si>
  <si>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</si>
  <si>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</si>
  <si>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</si>
  <si>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</si>
  <si>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</si>
  <si>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</si>
  <si>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</si>
  <si>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</si>
  <si>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</si>
  <si>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</si>
  <si>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</si>
  <si>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</si>
  <si>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</si>
  <si>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</si>
  <si>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</si>
  <si>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</si>
  <si>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(2017/xxx/EU) Reinigungsmittel für  harte Oberflächen</t>
  </si>
  <si>
    <t>(2017/xxx/EU) Handgeschirrspülmittel</t>
  </si>
  <si>
    <t>(2017/xxx/EU) Waschmittel</t>
  </si>
  <si>
    <t>Fleckenentferner (ausschließlich zur Vorbehandlung)</t>
  </si>
  <si>
    <t>(2017/xxx/EU) Maschinengeschirrspülmittel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</si>
  <si>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</si>
  <si>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</si>
  <si>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</si>
  <si>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</si>
  <si>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</si>
  <si>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</si>
  <si>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</si>
  <si>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</si>
  <si>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</si>
  <si>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</si>
  <si>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</si>
  <si>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</si>
  <si>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</si>
  <si>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</si>
  <si>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</si>
  <si>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</si>
  <si>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</si>
  <si>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</si>
  <si>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</si>
  <si>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</si>
  <si>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</si>
  <si>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</si>
  <si>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</si>
  <si>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</si>
  <si>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</si>
  <si>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</si>
  <si>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</si>
  <si>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</si>
  <si>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</si>
  <si>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</si>
  <si>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</si>
  <si>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</si>
  <si>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</si>
  <si>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</si>
  <si>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</si>
  <si>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</si>
  <si>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</si>
  <si>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</si>
  <si>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</si>
  <si>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</si>
  <si>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</si>
  <si>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</si>
  <si>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</si>
  <si>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</si>
  <si>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</si>
  <si>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</si>
  <si>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</si>
  <si>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</si>
  <si>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</si>
  <si>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</si>
  <si>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</si>
  <si>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</si>
  <si>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</si>
  <si>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</si>
  <si>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</si>
  <si>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</si>
  <si>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</si>
  <si>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</si>
  <si>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</si>
  <si>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</si>
  <si>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</si>
  <si>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</si>
  <si>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</si>
  <si>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</si>
  <si>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</si>
  <si>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</si>
  <si>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</si>
  <si>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</si>
  <si>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</si>
  <si>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</si>
  <si>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</si>
  <si>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</si>
  <si>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</si>
  <si>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</si>
  <si>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</si>
  <si>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</si>
  <si>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</si>
  <si>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</si>
  <si>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</si>
  <si>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</si>
  <si>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</si>
  <si>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</si>
  <si>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</si>
  <si>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Version 1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</si>
  <si>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</si>
  <si>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</si>
  <si>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</si>
  <si>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</si>
  <si>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</si>
  <si>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</si>
  <si>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</si>
  <si>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</si>
  <si>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</si>
  <si>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</si>
  <si>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</si>
  <si>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</si>
  <si>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</si>
  <si>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</si>
  <si>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</si>
  <si>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</si>
  <si>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</si>
  <si>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</si>
  <si>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</si>
  <si>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</si>
  <si>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</si>
  <si>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Mehrkomponenten-Geschirrspülmittel Teil 1</t>
  </si>
  <si>
    <t>Mehrkomponenten-Geschirrspülmittel Teil 2</t>
  </si>
  <si>
    <t>Mehrkomponenten-Geschirrspülmittel Teil 3</t>
  </si>
  <si>
    <t>Mehrkomponenten-Geschirrspülmittel Teil 4</t>
  </si>
  <si>
    <t>Mehrkomponenten-Geschirrspülmittel Teil 5</t>
  </si>
  <si>
    <t>Mehrkomponenten-Geschirrspülmittel Teil 6</t>
  </si>
  <si>
    <t>Mehrkomponenten-Geschirrspülmittel Teil 7</t>
  </si>
  <si>
    <t>Mehrkomponenten-Geschirrspülmittel Teil 8</t>
  </si>
  <si>
    <t>Limit für Summe</t>
  </si>
  <si>
    <t>Limit for sum</t>
  </si>
  <si>
    <t>Wasserhärte weich</t>
  </si>
  <si>
    <t>Wasserhärte normal</t>
  </si>
  <si>
    <t>Wasserhärte hart</t>
  </si>
  <si>
    <t>für weiches Wasser (&lt;1,5 mmol CaCO3/l)</t>
  </si>
  <si>
    <t>für mittleres Wasser (1,5 – 2,5 mmol CaCO3/l)</t>
  </si>
  <si>
    <t>für hartes Wasser (&gt;2,5 mmol CaCO3/l)</t>
  </si>
  <si>
    <t>for soft water (&lt;1,5 mmol CaCO3/l)</t>
  </si>
  <si>
    <t>for medium water (1,5 – 2,5 mmol CaCO3/l)</t>
  </si>
  <si>
    <t>for hard water (&gt;2,5 mmol CaCO3/l)</t>
  </si>
  <si>
    <t>I&amp;I Waschmittel, Pulver</t>
  </si>
  <si>
    <t>I&amp;I Waschmittel, Flüssig</t>
  </si>
  <si>
    <t>I&amp;I Mehrkomponentenwaschmittel, Teil 1</t>
  </si>
  <si>
    <t>I&amp;I Mehrkomponentenwaschmittel, Teil 2</t>
  </si>
  <si>
    <t>I&amp;I Mehrkomponentenwaschmittel, Teil 3</t>
  </si>
  <si>
    <t>I&amp;I Mehrkomponentenwaschmittel, Teil 4</t>
  </si>
  <si>
    <t>I&amp;I Mehrkomponentenwaschmittel, Teil 5</t>
  </si>
  <si>
    <t>I&amp;I Mehrkomponentenwaschmittel, Teil 6</t>
  </si>
  <si>
    <t>I&amp;I Mehrkomponentenwaschmittel, Teil 7</t>
  </si>
  <si>
    <t>I&amp;I Mehrkomponentenwaschmittel, Teil 8</t>
  </si>
  <si>
    <t>I&amp;I Laundry detergent, Powder</t>
  </si>
  <si>
    <t>I&amp;I Laundry detergent, Liquid</t>
  </si>
  <si>
    <t>I&amp;I LD Multi-component-system, Part 1</t>
  </si>
  <si>
    <t>I&amp;I LD Multi-component-system, Part 2</t>
  </si>
  <si>
    <t>I&amp;I LD Multi-component-system, Part 3</t>
  </si>
  <si>
    <t>I&amp;I LD Multi-component-system, Part 4</t>
  </si>
  <si>
    <t>I&amp;I LD Multi-component-system, Part 5</t>
  </si>
  <si>
    <t>I&amp;I LD Multi-component-system, Part 6</t>
  </si>
  <si>
    <t>I&amp;I LD Multi-component-system, Part 7</t>
  </si>
  <si>
    <t>I&amp;I LD Multi-component-system, Part 8</t>
  </si>
  <si>
    <t>I&amp;I DD Vorspüler</t>
  </si>
  <si>
    <t>I&amp;I DD Geschirrspülmittel</t>
  </si>
  <si>
    <t>I&amp;I DD Klarspüler</t>
  </si>
  <si>
    <t>I&amp;I DD Rinse aid</t>
  </si>
  <si>
    <t>I&amp;I DD Pre-soak</t>
  </si>
  <si>
    <t>I&amp;I Dishwasher detergent</t>
  </si>
  <si>
    <t>I&amp;I DD: g/l Spüllösung</t>
  </si>
  <si>
    <t>I&amp;I DD: ml/l Spüllösung</t>
  </si>
  <si>
    <t>I&amp;I LD: g/kg Wäsche</t>
  </si>
  <si>
    <t>I&amp;I LD: ml/kg Wäsche</t>
  </si>
  <si>
    <t>I&amp;I LD: g/kg Laundry</t>
  </si>
  <si>
    <t>I&amp;I LD: ml/kg Laundry</t>
  </si>
  <si>
    <t>I&amp;I DD: g/l washing solution</t>
  </si>
  <si>
    <t>I&amp;I DD: ml/l washing solution</t>
  </si>
  <si>
    <t>reference dosage for I&amp;I DD/
I&amp;I LD (medium soiling):</t>
  </si>
  <si>
    <t>reference dosage for I&amp;I LD
(light soiling):</t>
  </si>
  <si>
    <t>reference dosage for I&amp;I LD
(heavy soiling):</t>
  </si>
  <si>
    <t>Referenzdosierung für I&amp;I DD
/ I&amp;I LD (Verschmutzungsgrad mittel):</t>
  </si>
  <si>
    <t>Referenzdosierung für I&amp;I LD
(Verschmutzungsgrad leicht):</t>
  </si>
  <si>
    <t>Referenzdosierung für I&amp;I LD
(Verschmutzungsgrad schwer):</t>
  </si>
  <si>
    <t>=anNBO (Tensid H400/H412)</t>
  </si>
  <si>
    <t>=anNBO (surf. H400/H412)</t>
  </si>
  <si>
    <t>Leichte Verschmutzung</t>
  </si>
  <si>
    <t>Starke Verschmutzung</t>
  </si>
  <si>
    <t>mittlere Verschmutzung</t>
  </si>
  <si>
    <t>Dosis
(in g/kg)</t>
  </si>
  <si>
    <t>Dosage
(in g/kg)</t>
  </si>
  <si>
    <t>Verschmutzungsgrad:
Mittel</t>
  </si>
  <si>
    <t>I&amp;I LD: Verschmutzungsgrad:
Leicht</t>
  </si>
  <si>
    <t>I&amp;I LD Verschmutzungsgrad:
Schwer</t>
  </si>
  <si>
    <t>I&amp;I LD: Degree of soiling:
Light</t>
  </si>
  <si>
    <t>I&amp;I LD: Degree of soiling:
Heavy</t>
  </si>
  <si>
    <t>I&amp;I DD / I&amp;I LD</t>
  </si>
  <si>
    <t>I&amp;I LD</t>
  </si>
  <si>
    <t>Teil / Part:</t>
  </si>
  <si>
    <t>Multi-component DD system Part 1</t>
  </si>
  <si>
    <t>Multi-component DD system Part 2</t>
  </si>
  <si>
    <t>Multi-component DD system Part 3</t>
  </si>
  <si>
    <t>Multi-component DD system Part 4</t>
  </si>
  <si>
    <t>Multi-component DD system Part 5</t>
  </si>
  <si>
    <t>Multi-component DD system Part 6</t>
  </si>
  <si>
    <t>Multi-component DD system Part 7</t>
  </si>
  <si>
    <t>Multi-component DD system Part 8</t>
  </si>
  <si>
    <t>Mehrkomponenten-Geschirrspülmittel</t>
  </si>
  <si>
    <t>Multi-component DD system</t>
  </si>
  <si>
    <t>I&amp;I Mehrkomponentenwaschmittel</t>
  </si>
  <si>
    <t>I&amp;I LD Multi-component-system</t>
  </si>
  <si>
    <t>Maximaler Wert
weiches Wasser</t>
  </si>
  <si>
    <t>Maximaler Wert
Mittleres Wasser</t>
  </si>
  <si>
    <t>Maximaler Wert
Hartes Wasser</t>
  </si>
  <si>
    <t>Limit
soft water</t>
  </si>
  <si>
    <t>Limit
medium water</t>
  </si>
  <si>
    <t>Limit
hard water</t>
  </si>
  <si>
    <t>Höchste Referenzdosierung (weiches Wasser)</t>
  </si>
  <si>
    <t>Höchste Referenzdosierung (mittleres Wasser)</t>
  </si>
  <si>
    <t>Höchste Referenzdosierung (hartes Wasser)</t>
  </si>
  <si>
    <t>Highest recommended dosage (soft water)</t>
  </si>
  <si>
    <t>Highest recommended dosage (medium water)</t>
  </si>
  <si>
    <t>Highest recommended dosage (hard water)</t>
  </si>
  <si>
    <t>Waschmittel</t>
  </si>
  <si>
    <t>Geschirrspülmittel</t>
  </si>
  <si>
    <t>Für GNV der Verpackung:</t>
  </si>
  <si>
    <t>(Di)
weiches wasser</t>
  </si>
  <si>
    <t>(Di)
mittleres Waseer</t>
  </si>
  <si>
    <t>(Di)
hartes Wasser</t>
  </si>
  <si>
    <t>=( Wi + Ui ) /
 ( Di x ri )
(soft water)</t>
  </si>
  <si>
    <t>=( Wi + Ui ) /
 ( Di x ri )
(medium water)</t>
  </si>
  <si>
    <t>=( Wi + Ui ) /
 ( Di x ri )
(hard water)</t>
  </si>
  <si>
    <t>Inherently biodegradable according to OECD guidelines.</t>
  </si>
  <si>
    <t>Biologisch leicht abbaubar nach OECD Richtlinien</t>
  </si>
  <si>
    <t>Biologisch inherent abbaubar nach OECD Richtlinien</t>
  </si>
  <si>
    <t>(EU) 2017/1215 I&amp;I Maschinengeschirrspülmittel</t>
  </si>
  <si>
    <t>(EU) 2017/1215 I&amp;I Dishwasher detergents</t>
  </si>
  <si>
    <t>(EU) 2017/1219 I&amp;I Laundry detergents</t>
  </si>
  <si>
    <t xml:space="preserve">(EU) 2017/1219 I&amp;I Waschmittel </t>
  </si>
  <si>
    <t>Template July 2017</t>
  </si>
  <si>
    <t>07/2017</t>
  </si>
  <si>
    <t>Erstausgabe</t>
  </si>
  <si>
    <t>Contains enzymes</t>
  </si>
  <si>
    <t>Unit reference dosage (Select)</t>
  </si>
  <si>
    <t>Version 2</t>
  </si>
  <si>
    <t>Template August 2017</t>
  </si>
  <si>
    <t>08/2017</t>
  </si>
  <si>
    <t>Formeln fehlen in Ingoing substances Zeile 18 Spalten Q bis T.</t>
  </si>
  <si>
    <t>Exception for WUR? (Select)</t>
  </si>
  <si>
    <t>Non-ionic surfactants (****)</t>
  </si>
  <si>
    <r>
      <t>C8-11 Alcohol, predominately linear, ≤</t>
    </r>
    <r>
      <rPr>
        <sz val="8.1"/>
        <color rgb="FF00B050"/>
        <rFont val="Arial"/>
        <family val="2"/>
      </rPr>
      <t>2,5 EO</t>
    </r>
  </si>
  <si>
    <r>
      <t>C8-11 Alcohol, predominately linear, &gt;2,5 - ≤10</t>
    </r>
    <r>
      <rPr>
        <sz val="8.1"/>
        <color rgb="FF00B050"/>
        <rFont val="Arial"/>
        <family val="2"/>
      </rPr>
      <t xml:space="preserve"> EO</t>
    </r>
  </si>
  <si>
    <r>
      <t>C8-11 Alcohol, predominately linear, &gt;10</t>
    </r>
    <r>
      <rPr>
        <sz val="8.1"/>
        <color rgb="FF00B050"/>
        <rFont val="Arial"/>
        <family val="2"/>
      </rPr>
      <t xml:space="preserve"> EO</t>
    </r>
  </si>
  <si>
    <r>
      <t>C9-11 Alcohol, branched, ≤</t>
    </r>
    <r>
      <rPr>
        <sz val="8.1"/>
        <color rgb="FF00B050"/>
        <rFont val="Arial"/>
        <family val="2"/>
      </rPr>
      <t>2,5 EO</t>
    </r>
  </si>
  <si>
    <r>
      <t>C14-15 Alcohol, predominately linear, &gt;2,5 - ≤10</t>
    </r>
    <r>
      <rPr>
        <sz val="8.1"/>
        <color rgb="FF00B050"/>
        <rFont val="Arial"/>
        <family val="2"/>
      </rPr>
      <t xml:space="preserve"> EO</t>
    </r>
  </si>
  <si>
    <t>Preservatives (****)</t>
  </si>
  <si>
    <t>Other ingredients (****)</t>
  </si>
  <si>
    <t>(****)</t>
  </si>
  <si>
    <t xml:space="preserve">If you have used previous versions of the DID-list (2007 or 2014), please note that some DID-list numbers no longer match in the 2016-version. </t>
  </si>
  <si>
    <t>Some substances have been removed and others have got a new substance description and therefore assigned a new DID-number.</t>
  </si>
  <si>
    <t>Version 3</t>
  </si>
  <si>
    <t>Template Nov 2017</t>
  </si>
  <si>
    <t>Umstellung auf DID list 2017 final</t>
  </si>
  <si>
    <t>Version 4</t>
  </si>
  <si>
    <t>Template March 2020</t>
  </si>
  <si>
    <t>Sheet "Ingoing Substances, column T, rows 14 - 61 now like row 13. (wrong formula in row 14-61)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</si>
</sst>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  <family val="2"/>
    </font>
    <font>
      <sz val="12"/>
      <color theme="1"/>
      <name val="Geneva"/>
      <family val="2"/>
    </font>
    <font>
      <b/>
      <sz val="18"/>
      <color theme="1"/>
      <name val="Arial"/>
      <family val="2"/>
    </font>
    <font>
      <b/>
      <sz val="18"/>
      <color theme="1"/>
      <name val="Geneva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  <family val="2"/>
    </font>
    <font>
      <sz val="8.1"/>
      <color theme="1"/>
      <name val="Arial"/>
      <family val="2"/>
    </font>
    <font>
      <b/>
      <sz val="9"/>
      <color rgb="FFFF0000"/>
      <name val="Geneva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9"/>
      <color rgb="FF00B050"/>
      <name val="Geneva"/>
      <family val="2"/>
    </font>
    <font>
      <sz val="9"/>
      <color rgb="FF00B050"/>
      <name val="Arial"/>
      <family val="2"/>
    </font>
    <font>
      <sz val="8.1"/>
      <color rgb="FF00B05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4" fillId="0" borderId="0" applyFont="0" applyFill="0" applyBorder="0" applyAlignment="0" applyProtection="0"/>
  </cellStyleXfs>
  <cellXfs count="80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Protection="1"/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Font="1" applyFill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Font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0" xfId="0" applyFont="1" applyFill="1" applyBorder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right"/>
      <protection hidden="1"/>
    </xf>
    <xf numFmtId="0" fontId="16" fillId="6" borderId="36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66" fontId="7" fillId="6" borderId="0" xfId="0" applyNumberFormat="1" applyFont="1" applyFill="1" applyBorder="1" applyProtection="1">
      <protection hidden="1"/>
    </xf>
    <xf numFmtId="2" fontId="7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0" fillId="3" borderId="0" xfId="0" quotePrefix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8" fillId="3" borderId="0" xfId="0" applyFont="1" applyFill="1" applyBorder="1" applyProtection="1">
      <protection hidden="1"/>
    </xf>
    <xf numFmtId="0" fontId="18" fillId="3" borderId="0" xfId="0" applyFont="1" applyFill="1" applyBorder="1" applyAlignment="1" applyProtection="1">
      <alignment horizontal="right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Border="1" applyAlignment="1" applyProtection="1">
      <alignment vertical="top" wrapText="1"/>
      <protection hidden="1"/>
    </xf>
    <xf numFmtId="0" fontId="18" fillId="3" borderId="0" xfId="0" applyFont="1" applyFill="1" applyProtection="1"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NumberFormat="1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right" vertical="center"/>
      <protection hidden="1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Border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Protection="1"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14" fontId="13" fillId="3" borderId="1" xfId="0" applyNumberFormat="1" applyFont="1" applyFill="1" applyBorder="1" applyAlignment="1" applyProtection="1">
      <protection hidden="1"/>
    </xf>
    <xf numFmtId="0" fontId="13" fillId="3" borderId="1" xfId="0" applyNumberFormat="1" applyFont="1" applyFill="1" applyBorder="1" applyAlignment="1" applyProtection="1"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Border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1" xfId="0" applyFont="1" applyFill="1" applyBorder="1"/>
    <xf numFmtId="0" fontId="3" fillId="0" borderId="33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Protection="1">
      <protection hidden="1"/>
    </xf>
    <xf numFmtId="0" fontId="23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Border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Protection="1"/>
    <xf numFmtId="0" fontId="9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46" xfId="0" applyFont="1" applyFill="1" applyBorder="1" applyAlignment="1" applyProtection="1">
      <alignment horizontal="right"/>
      <protection hidden="1"/>
    </xf>
    <xf numFmtId="0" fontId="3" fillId="0" borderId="0" xfId="4" applyProtection="1"/>
    <xf numFmtId="0" fontId="5" fillId="3" borderId="0" xfId="4" applyFont="1" applyFill="1" applyBorder="1" applyAlignment="1" applyProtection="1">
      <alignment horizontal="left"/>
      <protection hidden="1"/>
    </xf>
    <xf numFmtId="0" fontId="5" fillId="8" borderId="0" xfId="4" applyFont="1" applyFill="1" applyBorder="1" applyAlignment="1" applyProtection="1">
      <alignment vertical="center"/>
      <protection hidden="1"/>
    </xf>
    <xf numFmtId="0" fontId="9" fillId="3" borderId="0" xfId="4" applyFont="1" applyFill="1" applyBorder="1" applyProtection="1"/>
    <xf numFmtId="0" fontId="3" fillId="3" borderId="0" xfId="4" applyFill="1" applyProtection="1"/>
    <xf numFmtId="0" fontId="5" fillId="3" borderId="0" xfId="4" applyFont="1" applyFill="1" applyBorder="1" applyAlignment="1" applyProtection="1">
      <alignment horizontal="left" vertical="center"/>
      <protection hidden="1"/>
    </xf>
    <xf numFmtId="0" fontId="3" fillId="2" borderId="17" xfId="4" applyFont="1" applyFill="1" applyBorder="1" applyAlignment="1" applyProtection="1">
      <alignment horizontal="center" vertical="center"/>
      <protection locked="0"/>
    </xf>
    <xf numFmtId="171" fontId="3" fillId="11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7" xfId="4" applyFont="1" applyFill="1" applyBorder="1" applyAlignment="1" applyProtection="1">
      <alignment horizontal="center"/>
      <protection locked="0"/>
    </xf>
    <xf numFmtId="0" fontId="3" fillId="2" borderId="12" xfId="4" applyFont="1" applyFill="1" applyBorder="1" applyAlignment="1" applyProtection="1">
      <alignment horizontal="center"/>
      <protection locked="0"/>
    </xf>
    <xf numFmtId="171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2" borderId="9" xfId="4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ont="1" applyFill="1" applyBorder="1" applyAlignment="1" applyProtection="1">
      <alignment horizontal="center" vertical="center"/>
      <protection locked="0"/>
    </xf>
    <xf numFmtId="2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Border="1" applyAlignment="1" applyProtection="1">
      <alignment horizontal="right"/>
      <protection hidden="1"/>
    </xf>
    <xf numFmtId="0" fontId="9" fillId="0" borderId="0" xfId="4" applyFont="1" applyBorder="1" applyProtection="1">
      <protection hidden="1"/>
    </xf>
    <xf numFmtId="0" fontId="9" fillId="3" borderId="0" xfId="4" applyFont="1" applyFill="1" applyBorder="1" applyProtection="1">
      <protection hidden="1"/>
    </xf>
    <xf numFmtId="0" fontId="5" fillId="3" borderId="0" xfId="4" applyFont="1" applyFill="1" applyBorder="1" applyAlignment="1" applyProtection="1">
      <alignment horizontal="left"/>
      <protection hidden="1"/>
    </xf>
    <xf numFmtId="0" fontId="3" fillId="3" borderId="0" xfId="4" applyFill="1" applyBorder="1" applyAlignment="1" applyProtection="1">
      <alignment horizontal="right"/>
      <protection hidden="1"/>
    </xf>
    <xf numFmtId="0" fontId="3" fillId="3" borderId="0" xfId="4" applyFill="1" applyBorder="1" applyProtection="1">
      <protection hidden="1"/>
    </xf>
    <xf numFmtId="0" fontId="3" fillId="3" borderId="0" xfId="4" applyFill="1" applyProtection="1">
      <protection hidden="1"/>
    </xf>
    <xf numFmtId="0" fontId="3" fillId="0" borderId="1" xfId="4" applyFont="1" applyBorder="1"/>
    <xf numFmtId="0" fontId="3" fillId="0" borderId="1" xfId="4" applyFont="1" applyBorder="1" applyAlignment="1">
      <alignment vertical="top" wrapText="1"/>
    </xf>
    <xf numFmtId="0" fontId="3" fillId="0" borderId="33" xfId="4" applyFont="1" applyBorder="1" applyAlignment="1">
      <alignment wrapText="1"/>
    </xf>
    <xf numFmtId="0" fontId="5" fillId="5" borderId="33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Border="1" applyProtection="1">
      <protection hidden="1"/>
    </xf>
    <xf numFmtId="0" fontId="23" fillId="3" borderId="0" xfId="0" quotePrefix="1" applyFont="1" applyFill="1" applyBorder="1" applyAlignment="1" applyProtection="1">
      <alignment horizontal="center"/>
      <protection hidden="1"/>
    </xf>
    <xf numFmtId="0" fontId="23" fillId="3" borderId="0" xfId="0" applyFont="1" applyFill="1" applyBorder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Border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7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3" fillId="0" borderId="0" xfId="0" applyFont="1" applyFill="1" applyBorder="1" applyProtection="1"/>
    <xf numFmtId="0" fontId="40" fillId="0" borderId="0" xfId="0" applyFont="1" applyFill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4" fillId="5" borderId="45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protection hidden="1"/>
    </xf>
    <xf numFmtId="0" fontId="5" fillId="0" borderId="40" xfId="0" applyFont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3" fillId="3" borderId="42" xfId="0" applyFont="1" applyFill="1" applyBorder="1" applyProtection="1">
      <protection hidden="1"/>
    </xf>
    <xf numFmtId="0" fontId="26" fillId="7" borderId="33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3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5" fillId="5" borderId="33" xfId="0" applyFont="1" applyFill="1" applyBorder="1" applyAlignment="1" applyProtection="1">
      <alignment horizontal="right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3" fillId="3" borderId="17" xfId="0" applyNumberFormat="1" applyFont="1" applyFill="1" applyBorder="1" applyAlignment="1" applyProtection="1">
      <alignment horizontal="center"/>
      <protection hidden="1"/>
    </xf>
    <xf numFmtId="0" fontId="3" fillId="3" borderId="1" xfId="0" applyNumberFormat="1" applyFont="1" applyFill="1" applyBorder="1" applyAlignment="1" applyProtection="1">
      <alignment horizontal="center"/>
      <protection hidden="1"/>
    </xf>
    <xf numFmtId="0" fontId="0" fillId="0" borderId="17" xfId="0" applyNumberFormat="1" applyBorder="1" applyAlignment="1" applyProtection="1">
      <alignment horizontal="center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vertical="top" wrapText="1"/>
      <protection hidden="1"/>
    </xf>
    <xf numFmtId="0" fontId="25" fillId="3" borderId="0" xfId="0" applyFont="1" applyFill="1" applyBorder="1" applyProtection="1">
      <protection hidden="1"/>
    </xf>
    <xf numFmtId="49" fontId="25" fillId="3" borderId="0" xfId="0" applyNumberFormat="1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5" fillId="0" borderId="62" xfId="0" applyFont="1" applyBorder="1" applyAlignment="1" applyProtection="1">
      <alignment horizontal="center"/>
      <protection hidden="1"/>
    </xf>
    <xf numFmtId="0" fontId="3" fillId="3" borderId="33" xfId="0" applyNumberFormat="1" applyFont="1" applyFill="1" applyBorder="1" applyAlignment="1" applyProtection="1">
      <alignment horizontal="center"/>
      <protection hidden="1"/>
    </xf>
    <xf numFmtId="0" fontId="3" fillId="0" borderId="33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2" xfId="4" applyFont="1" applyFill="1" applyBorder="1" applyAlignment="1" applyProtection="1">
      <alignment horizontal="center" vertical="center" wrapText="1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quotePrefix="1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3" fillId="3" borderId="0" xfId="4" applyFont="1" applyFill="1" applyAlignment="1" applyProtection="1">
      <alignment wrapText="1"/>
      <protection hidden="1"/>
    </xf>
    <xf numFmtId="0" fontId="5" fillId="3" borderId="0" xfId="4" quotePrefix="1" applyFont="1" applyFill="1" applyBorder="1" applyAlignment="1" applyProtection="1">
      <alignment horizontal="left" vertical="top"/>
      <protection hidden="1"/>
    </xf>
    <xf numFmtId="0" fontId="3" fillId="3" borderId="0" xfId="4" applyFill="1" applyBorder="1" applyAlignment="1" applyProtection="1">
      <alignment horizontal="left" vertical="top" wrapText="1"/>
      <protection hidden="1"/>
    </xf>
    <xf numFmtId="0" fontId="3" fillId="3" borderId="0" xfId="4" applyFill="1" applyBorder="1" applyAlignment="1" applyProtection="1">
      <alignment horizontal="left" vertical="top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5" fillId="5" borderId="48" xfId="4" applyFont="1" applyFill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 applyProtection="1">
      <alignment horizontal="left" vertical="top" wrapText="1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Border="1" applyAlignment="1" applyProtection="1">
      <alignment horizontal="left"/>
      <protection hidden="1"/>
    </xf>
    <xf numFmtId="17" fontId="4" fillId="3" borderId="0" xfId="0" applyNumberFormat="1" applyFont="1" applyFill="1" applyBorder="1" applyAlignment="1" applyProtection="1">
      <alignment vertical="center"/>
      <protection hidden="1"/>
    </xf>
    <xf numFmtId="17" fontId="4" fillId="3" borderId="0" xfId="0" applyNumberFormat="1" applyFont="1" applyFill="1" applyBorder="1" applyAlignment="1" applyProtection="1">
      <alignment horizontal="center" vertical="center"/>
      <protection hidden="1"/>
    </xf>
    <xf numFmtId="17" fontId="4" fillId="3" borderId="0" xfId="4" applyNumberFormat="1" applyFont="1" applyFill="1" applyBorder="1" applyAlignment="1" applyProtection="1">
      <alignment vertical="center"/>
      <protection hidden="1"/>
    </xf>
    <xf numFmtId="0" fontId="3" fillId="3" borderId="38" xfId="4" applyFill="1" applyBorder="1" applyAlignment="1" applyProtection="1">
      <alignment vertical="center"/>
      <protection hidden="1"/>
    </xf>
    <xf numFmtId="0" fontId="3" fillId="3" borderId="63" xfId="4" applyFill="1" applyBorder="1" applyAlignment="1" applyProtection="1">
      <alignment vertical="center"/>
      <protection hidden="1"/>
    </xf>
    <xf numFmtId="0" fontId="3" fillId="3" borderId="57" xfId="4" applyFill="1" applyBorder="1" applyProtection="1">
      <protection hidden="1"/>
    </xf>
    <xf numFmtId="0" fontId="3" fillId="3" borderId="50" xfId="4" applyFill="1" applyBorder="1" applyProtection="1">
      <protection hidden="1"/>
    </xf>
    <xf numFmtId="0" fontId="5" fillId="6" borderId="66" xfId="4" applyFont="1" applyFill="1" applyBorder="1" applyAlignment="1" applyProtection="1">
      <alignment horizontal="center" vertical="center"/>
      <protection hidden="1"/>
    </xf>
    <xf numFmtId="0" fontId="3" fillId="3" borderId="57" xfId="4" applyFont="1" applyFill="1" applyBorder="1" applyAlignment="1" applyProtection="1">
      <alignment wrapText="1"/>
      <protection hidden="1"/>
    </xf>
    <xf numFmtId="0" fontId="3" fillId="3" borderId="50" xfId="4" applyFill="1" applyBorder="1" applyAlignment="1" applyProtection="1">
      <alignment horizontal="left" vertical="top"/>
      <protection hidden="1"/>
    </xf>
    <xf numFmtId="0" fontId="9" fillId="3" borderId="50" xfId="0" applyFont="1" applyFill="1" applyBorder="1" applyProtection="1">
      <protection hidden="1"/>
    </xf>
    <xf numFmtId="0" fontId="9" fillId="3" borderId="57" xfId="4" applyFont="1" applyFill="1" applyBorder="1" applyProtection="1">
      <protection hidden="1"/>
    </xf>
    <xf numFmtId="0" fontId="9" fillId="3" borderId="50" xfId="4" applyFont="1" applyFill="1" applyBorder="1" applyProtection="1">
      <protection hidden="1"/>
    </xf>
    <xf numFmtId="0" fontId="3" fillId="3" borderId="38" xfId="4" applyFill="1" applyBorder="1" applyAlignment="1" applyProtection="1">
      <protection hidden="1"/>
    </xf>
    <xf numFmtId="0" fontId="3" fillId="3" borderId="63" xfId="4" applyFill="1" applyBorder="1" applyAlignment="1" applyProtection="1">
      <protection hidden="1"/>
    </xf>
    <xf numFmtId="165" fontId="3" fillId="8" borderId="0" xfId="0" applyNumberFormat="1" applyFont="1" applyFill="1" applyBorder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NumberFormat="1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Border="1" applyProtection="1">
      <protection hidden="1"/>
    </xf>
    <xf numFmtId="0" fontId="5" fillId="8" borderId="45" xfId="0" applyFont="1" applyFill="1" applyBorder="1" applyAlignment="1" applyProtection="1">
      <alignment horizontal="right"/>
      <protection hidden="1"/>
    </xf>
    <xf numFmtId="0" fontId="12" fillId="5" borderId="46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ont="1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wrapText="1"/>
      <protection hidden="1"/>
    </xf>
    <xf numFmtId="0" fontId="10" fillId="3" borderId="1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3" borderId="1" xfId="0" applyNumberFormat="1" applyFont="1" applyFill="1" applyBorder="1" applyAlignment="1" applyProtection="1">
      <alignment horizont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4" xfId="0" applyFont="1" applyFill="1" applyBorder="1" applyAlignment="1" applyProtection="1">
      <alignment horizontal="right"/>
      <protection hidden="1"/>
    </xf>
    <xf numFmtId="0" fontId="5" fillId="6" borderId="44" xfId="0" applyFont="1" applyFill="1" applyBorder="1" applyAlignment="1" applyProtection="1">
      <alignment horizontal="center" vertical="center"/>
      <protection hidden="1"/>
    </xf>
    <xf numFmtId="0" fontId="5" fillId="6" borderId="44" xfId="0" quotePrefix="1" applyFont="1" applyFill="1" applyBorder="1" applyAlignment="1" applyProtection="1">
      <alignment horizontal="center"/>
      <protection hidden="1"/>
    </xf>
    <xf numFmtId="0" fontId="33" fillId="0" borderId="0" xfId="0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0" fontId="40" fillId="0" borderId="0" xfId="0" applyFont="1" applyFill="1" applyBorder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0" fillId="0" borderId="20" xfId="0" applyNumberFormat="1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/>
      <protection hidden="1"/>
    </xf>
    <xf numFmtId="0" fontId="0" fillId="0" borderId="0" xfId="0" applyNumberFormat="1" applyBorder="1" applyAlignment="1" applyProtection="1">
      <alignment horizontal="center"/>
      <protection hidden="1"/>
    </xf>
    <xf numFmtId="0" fontId="3" fillId="0" borderId="1" xfId="0" applyFont="1" applyFill="1" applyBorder="1" applyAlignment="1">
      <alignment vertical="top" wrapText="1"/>
    </xf>
    <xf numFmtId="0" fontId="23" fillId="0" borderId="54" xfId="0" applyNumberFormat="1" applyFont="1" applyBorder="1" applyAlignment="1" applyProtection="1">
      <protection hidden="1"/>
    </xf>
    <xf numFmtId="0" fontId="0" fillId="0" borderId="24" xfId="0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0" fillId="0" borderId="54" xfId="0" applyNumberFormat="1" applyBorder="1" applyAlignment="1" applyProtection="1">
      <alignment horizontal="center"/>
      <protection hidden="1"/>
    </xf>
    <xf numFmtId="166" fontId="0" fillId="0" borderId="54" xfId="0" applyNumberFormat="1" applyBorder="1" applyAlignment="1" applyProtection="1">
      <alignment horizontal="center"/>
      <protection hidden="1"/>
    </xf>
    <xf numFmtId="0" fontId="0" fillId="0" borderId="12" xfId="0" applyNumberFormat="1" applyBorder="1" applyAlignment="1" applyProtection="1">
      <alignment horizontal="center"/>
      <protection hidden="1"/>
    </xf>
    <xf numFmtId="0" fontId="0" fillId="0" borderId="26" xfId="0" applyNumberFormat="1" applyBorder="1" applyAlignment="1" applyProtection="1">
      <alignment horizontal="center"/>
      <protection hidden="1"/>
    </xf>
    <xf numFmtId="0" fontId="0" fillId="0" borderId="61" xfId="0" applyNumberFormat="1" applyBorder="1" applyAlignment="1" applyProtection="1">
      <alignment horizontal="center"/>
      <protection hidden="1"/>
    </xf>
    <xf numFmtId="0" fontId="3" fillId="0" borderId="19" xfId="0" applyNumberFormat="1" applyFont="1" applyBorder="1" applyAlignment="1" applyProtection="1">
      <alignment horizontal="center"/>
      <protection hidden="1"/>
    </xf>
    <xf numFmtId="2" fontId="3" fillId="0" borderId="19" xfId="0" applyNumberFormat="1" applyFont="1" applyBorder="1" applyAlignment="1" applyProtection="1">
      <alignment horizontal="center"/>
      <protection hidden="1"/>
    </xf>
    <xf numFmtId="0" fontId="0" fillId="0" borderId="54" xfId="0" applyBorder="1" applyAlignment="1" applyProtection="1">
      <alignment horizontal="center"/>
      <protection hidden="1"/>
    </xf>
    <xf numFmtId="0" fontId="0" fillId="0" borderId="21" xfId="0" applyNumberForma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hidden="1"/>
    </xf>
    <xf numFmtId="0" fontId="3" fillId="0" borderId="18" xfId="0" applyNumberFormat="1" applyFont="1" applyBorder="1" applyAlignment="1" applyProtection="1">
      <alignment horizontal="center"/>
      <protection hidden="1"/>
    </xf>
    <xf numFmtId="0" fontId="3" fillId="0" borderId="34" xfId="0" applyNumberFormat="1" applyFont="1" applyBorder="1" applyAlignment="1" applyProtection="1">
      <alignment horizontal="center"/>
      <protection hidden="1"/>
    </xf>
    <xf numFmtId="0" fontId="3" fillId="0" borderId="13" xfId="0" applyNumberFormat="1" applyFont="1" applyBorder="1" applyAlignment="1" applyProtection="1">
      <alignment horizontal="center"/>
      <protection hidden="1"/>
    </xf>
    <xf numFmtId="0" fontId="0" fillId="0" borderId="24" xfId="0" applyNumberFormat="1" applyBorder="1" applyAlignment="1" applyProtection="1">
      <alignment horizontal="center"/>
      <protection hidden="1"/>
    </xf>
    <xf numFmtId="2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 vertical="center" wrapText="1"/>
      <protection hidden="1"/>
    </xf>
    <xf numFmtId="0" fontId="12" fillId="5" borderId="37" xfId="0" applyFont="1" applyFill="1" applyBorder="1" applyAlignment="1" applyProtection="1">
      <alignment horizontal="center" vertical="center" wrapText="1"/>
      <protection hidden="1"/>
    </xf>
    <xf numFmtId="0" fontId="4" fillId="3" borderId="33" xfId="0" quotePrefix="1" applyFont="1" applyFill="1" applyBorder="1" applyAlignment="1" applyProtection="1">
      <alignment horizontal="center" vertical="center"/>
      <protection hidden="1"/>
    </xf>
    <xf numFmtId="166" fontId="12" fillId="8" borderId="33" xfId="0" applyNumberFormat="1" applyFont="1" applyFill="1" applyBorder="1" applyAlignment="1" applyProtection="1">
      <alignment horizontal="center" vertical="center"/>
      <protection hidden="1"/>
    </xf>
    <xf numFmtId="166" fontId="27" fillId="7" borderId="10" xfId="0" applyNumberFormat="1" applyFont="1" applyFill="1" applyBorder="1" applyAlignment="1" applyProtection="1">
      <alignment horizontal="center" vertical="center"/>
      <protection hidden="1"/>
    </xf>
    <xf numFmtId="0" fontId="12" fillId="5" borderId="21" xfId="0" applyFont="1" applyFill="1" applyBorder="1" applyAlignment="1" applyProtection="1">
      <alignment horizontal="center" vertical="center" wrapText="1"/>
      <protection hidden="1"/>
    </xf>
    <xf numFmtId="0" fontId="4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9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4" fillId="3" borderId="9" xfId="0" quotePrefix="1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center"/>
      <protection hidden="1"/>
    </xf>
    <xf numFmtId="170" fontId="12" fillId="8" borderId="17" xfId="0" applyNumberFormat="1" applyFont="1" applyFill="1" applyBorder="1" applyAlignment="1" applyProtection="1">
      <alignment horizontal="center" vertical="center"/>
      <protection hidden="1"/>
    </xf>
    <xf numFmtId="2" fontId="12" fillId="8" borderId="19" xfId="0" applyNumberFormat="1" applyFont="1" applyFill="1" applyBorder="1" applyAlignment="1" applyProtection="1">
      <alignment horizontal="center" vertical="center"/>
      <protection hidden="1"/>
    </xf>
    <xf numFmtId="170" fontId="12" fillId="8" borderId="12" xfId="0" applyNumberFormat="1" applyFont="1" applyFill="1" applyBorder="1" applyAlignment="1" applyProtection="1">
      <alignment horizontal="center" vertical="center"/>
      <protection hidden="1"/>
    </xf>
    <xf numFmtId="166" fontId="12" fillId="3" borderId="13" xfId="0" applyNumberFormat="1" applyFont="1" applyFill="1" applyBorder="1" applyAlignment="1" applyProtection="1">
      <alignment horizontal="center"/>
      <protection hidden="1"/>
    </xf>
    <xf numFmtId="166" fontId="12" fillId="8" borderId="13" xfId="0" applyNumberFormat="1" applyFont="1" applyFill="1" applyBorder="1" applyAlignment="1" applyProtection="1">
      <alignment horizontal="center" vertical="center"/>
      <protection hidden="1"/>
    </xf>
    <xf numFmtId="2" fontId="12" fillId="8" borderId="14" xfId="0" applyNumberFormat="1" applyFont="1" applyFill="1" applyBorder="1" applyAlignment="1" applyProtection="1">
      <alignment horizontal="center" vertical="center"/>
      <protection hidden="1"/>
    </xf>
    <xf numFmtId="0" fontId="12" fillId="5" borderId="22" xfId="0" applyFont="1" applyFill="1" applyBorder="1" applyAlignment="1" applyProtection="1">
      <alignment horizontal="center" vertical="center" wrapText="1"/>
      <protection hidden="1"/>
    </xf>
    <xf numFmtId="2" fontId="12" fillId="8" borderId="13" xfId="0" applyNumberFormat="1" applyFont="1" applyFill="1" applyBorder="1" applyAlignment="1" applyProtection="1">
      <alignment horizontal="center" vertical="center"/>
      <protection hidden="1"/>
    </xf>
    <xf numFmtId="0" fontId="0" fillId="3" borderId="63" xfId="0" applyFill="1" applyBorder="1" applyProtection="1">
      <protection hidden="1"/>
    </xf>
    <xf numFmtId="0" fontId="0" fillId="3" borderId="50" xfId="0" applyFill="1" applyBorder="1" applyProtection="1">
      <protection hidden="1"/>
    </xf>
    <xf numFmtId="0" fontId="4" fillId="5" borderId="21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 wrapText="1"/>
      <protection hidden="1"/>
    </xf>
    <xf numFmtId="0" fontId="4" fillId="5" borderId="11" xfId="0" applyFont="1" applyFill="1" applyBorder="1" applyAlignment="1" applyProtection="1">
      <alignment horizontal="center" wrapText="1"/>
      <protection hidden="1"/>
    </xf>
    <xf numFmtId="0" fontId="4" fillId="5" borderId="16" xfId="0" applyFont="1" applyFill="1" applyBorder="1" applyAlignment="1" applyProtection="1">
      <alignment horizontal="center" wrapText="1"/>
      <protection hidden="1"/>
    </xf>
    <xf numFmtId="0" fontId="3" fillId="0" borderId="17" xfId="0" applyFont="1" applyBorder="1" applyAlignment="1" applyProtection="1">
      <alignment horizontal="right"/>
      <protection hidden="1"/>
    </xf>
    <xf numFmtId="0" fontId="4" fillId="9" borderId="33" xfId="0" applyFont="1" applyFill="1" applyBorder="1" applyProtection="1">
      <protection locked="0"/>
    </xf>
    <xf numFmtId="166" fontId="4" fillId="9" borderId="17" xfId="0" applyNumberFormat="1" applyFont="1" applyFill="1" applyBorder="1" applyAlignment="1" applyProtection="1">
      <alignment horizontal="center" vertical="center"/>
      <protection locked="0"/>
    </xf>
    <xf numFmtId="166" fontId="4" fillId="9" borderId="1" xfId="0" applyNumberFormat="1" applyFont="1" applyFill="1" applyBorder="1" applyAlignment="1" applyProtection="1">
      <alignment horizontal="center" vertical="center"/>
      <protection locked="0"/>
    </xf>
    <xf numFmtId="165" fontId="4" fillId="9" borderId="1" xfId="0" applyNumberFormat="1" applyFont="1" applyFill="1" applyBorder="1" applyAlignment="1" applyProtection="1">
      <alignment horizontal="center" vertical="center"/>
      <protection locked="0"/>
    </xf>
    <xf numFmtId="165" fontId="4" fillId="9" borderId="19" xfId="0" applyNumberFormat="1" applyFont="1" applyFill="1" applyBorder="1" applyAlignment="1" applyProtection="1">
      <alignment horizontal="center" vertical="center"/>
      <protection locked="0"/>
    </xf>
    <xf numFmtId="166" fontId="4" fillId="9" borderId="20" xfId="0" applyNumberFormat="1" applyFont="1" applyFill="1" applyBorder="1" applyAlignment="1" applyProtection="1">
      <alignment horizontal="center" vertical="center"/>
      <protection locked="0"/>
    </xf>
    <xf numFmtId="166" fontId="4" fillId="9" borderId="12" xfId="0" applyNumberFormat="1" applyFont="1" applyFill="1" applyBorder="1" applyAlignment="1" applyProtection="1">
      <alignment horizontal="center" vertical="center"/>
      <protection locked="0"/>
    </xf>
    <xf numFmtId="166" fontId="4" fillId="9" borderId="13" xfId="0" applyNumberFormat="1" applyFont="1" applyFill="1" applyBorder="1" applyAlignment="1" applyProtection="1">
      <alignment horizontal="center" vertical="center"/>
      <protection locked="0"/>
    </xf>
    <xf numFmtId="165" fontId="4" fillId="9" borderId="13" xfId="0" applyNumberFormat="1" applyFont="1" applyFill="1" applyBorder="1" applyAlignment="1" applyProtection="1">
      <alignment horizontal="center" vertical="center"/>
      <protection locked="0"/>
    </xf>
    <xf numFmtId="165" fontId="4" fillId="9" borderId="14" xfId="0" applyNumberFormat="1" applyFont="1" applyFill="1" applyBorder="1" applyAlignment="1" applyProtection="1">
      <alignment horizontal="center" vertical="center"/>
      <protection locked="0"/>
    </xf>
    <xf numFmtId="166" fontId="4" fillId="9" borderId="26" xfId="0" applyNumberFormat="1" applyFont="1" applyFill="1" applyBorder="1" applyAlignment="1" applyProtection="1">
      <alignment horizontal="center" vertical="center"/>
      <protection locked="0"/>
    </xf>
    <xf numFmtId="0" fontId="6" fillId="3" borderId="57" xfId="0" applyFont="1" applyFill="1" applyBorder="1" applyAlignment="1" applyProtection="1">
      <alignment horizontal="right"/>
      <protection hidden="1"/>
    </xf>
    <xf numFmtId="0" fontId="0" fillId="3" borderId="57" xfId="0" applyFill="1" applyBorder="1" applyAlignment="1" applyProtection="1">
      <alignment horizontal="right"/>
      <protection hidden="1"/>
    </xf>
    <xf numFmtId="0" fontId="0" fillId="3" borderId="59" xfId="0" applyFill="1" applyBorder="1" applyAlignment="1" applyProtection="1">
      <alignment horizontal="right"/>
      <protection hidden="1"/>
    </xf>
    <xf numFmtId="0" fontId="5" fillId="3" borderId="49" xfId="0" applyFont="1" applyFill="1" applyBorder="1" applyProtection="1">
      <protection hidden="1"/>
    </xf>
    <xf numFmtId="0" fontId="0" fillId="3" borderId="49" xfId="0" applyFill="1" applyBorder="1" applyProtection="1">
      <protection hidden="1"/>
    </xf>
    <xf numFmtId="0" fontId="0" fillId="3" borderId="68" xfId="0" applyFill="1" applyBorder="1" applyProtection="1">
      <protection hidden="1"/>
    </xf>
    <xf numFmtId="0" fontId="5" fillId="3" borderId="38" xfId="0" applyFont="1" applyFill="1" applyBorder="1" applyProtection="1">
      <protection hidden="1"/>
    </xf>
    <xf numFmtId="0" fontId="5" fillId="3" borderId="63" xfId="0" applyFont="1" applyFill="1" applyBorder="1" applyProtection="1">
      <protection hidden="1"/>
    </xf>
    <xf numFmtId="166" fontId="4" fillId="9" borderId="21" xfId="0" applyNumberFormat="1" applyFont="1" applyFill="1" applyBorder="1" applyAlignment="1" applyProtection="1">
      <alignment horizontal="center" vertical="center"/>
      <protection locked="0"/>
    </xf>
    <xf numFmtId="166" fontId="4" fillId="9" borderId="18" xfId="0" applyNumberFormat="1" applyFont="1" applyFill="1" applyBorder="1" applyAlignment="1" applyProtection="1">
      <alignment horizontal="center" vertical="center"/>
      <protection locked="0"/>
    </xf>
    <xf numFmtId="165" fontId="4" fillId="9" borderId="18" xfId="0" applyNumberFormat="1" applyFont="1" applyFill="1" applyBorder="1" applyAlignment="1" applyProtection="1">
      <alignment horizontal="center" vertical="center"/>
      <protection locked="0"/>
    </xf>
    <xf numFmtId="165" fontId="4" fillId="9" borderId="22" xfId="0" applyNumberFormat="1" applyFont="1" applyFill="1" applyBorder="1" applyAlignment="1" applyProtection="1">
      <alignment horizontal="center" vertical="center"/>
      <protection locked="0"/>
    </xf>
    <xf numFmtId="166" fontId="4" fillId="9" borderId="23" xfId="0" applyNumberFormat="1" applyFont="1" applyFill="1" applyBorder="1" applyAlignment="1" applyProtection="1">
      <alignment horizontal="center" vertical="center"/>
      <protection locked="0"/>
    </xf>
    <xf numFmtId="2" fontId="45" fillId="7" borderId="1" xfId="0" applyNumberFormat="1" applyFont="1" applyFill="1" applyBorder="1" applyAlignment="1" applyProtection="1">
      <alignment horizontal="center" vertical="center"/>
      <protection hidden="1"/>
    </xf>
    <xf numFmtId="1" fontId="4" fillId="9" borderId="17" xfId="0" applyNumberFormat="1" applyFont="1" applyFill="1" applyBorder="1" applyAlignment="1" applyProtection="1">
      <alignment horizontal="center" vertical="center"/>
      <protection locked="0"/>
    </xf>
    <xf numFmtId="1" fontId="4" fillId="9" borderId="21" xfId="0" applyNumberFormat="1" applyFont="1" applyFill="1" applyBorder="1" applyAlignment="1" applyProtection="1">
      <alignment horizontal="center" vertical="center"/>
      <protection locked="0"/>
    </xf>
    <xf numFmtId="2" fontId="4" fillId="9" borderId="1" xfId="0" applyNumberFormat="1" applyFont="1" applyFill="1" applyBorder="1" applyAlignment="1" applyProtection="1">
      <alignment horizontal="center" vertical="center"/>
      <protection locked="0"/>
    </xf>
    <xf numFmtId="2" fontId="4" fillId="9" borderId="18" xfId="0" applyNumberFormat="1" applyFont="1" applyFill="1" applyBorder="1" applyAlignment="1" applyProtection="1">
      <alignment horizontal="center" vertical="center"/>
      <protection locked="0"/>
    </xf>
    <xf numFmtId="2" fontId="4" fillId="9" borderId="19" xfId="0" applyNumberFormat="1" applyFont="1" applyFill="1" applyBorder="1" applyAlignment="1" applyProtection="1">
      <alignment horizontal="center" vertical="center"/>
      <protection locked="0"/>
    </xf>
    <xf numFmtId="2" fontId="4" fillId="9" borderId="22" xfId="0" applyNumberFormat="1" applyFont="1" applyFill="1" applyBorder="1" applyAlignment="1" applyProtection="1">
      <alignment horizontal="center" vertical="center"/>
      <protection locked="0"/>
    </xf>
    <xf numFmtId="0" fontId="4" fillId="5" borderId="37" xfId="0" applyFont="1" applyFill="1" applyBorder="1" applyAlignment="1" applyProtection="1">
      <alignment horizontal="center" wrapText="1"/>
      <protection hidden="1"/>
    </xf>
    <xf numFmtId="165" fontId="4" fillId="9" borderId="33" xfId="0" applyNumberFormat="1" applyFont="1" applyFill="1" applyBorder="1" applyAlignment="1" applyProtection="1">
      <alignment horizontal="center" vertical="center"/>
      <protection locked="0"/>
    </xf>
    <xf numFmtId="165" fontId="4" fillId="9" borderId="34" xfId="0" applyNumberFormat="1" applyFont="1" applyFill="1" applyBorder="1" applyAlignment="1" applyProtection="1">
      <alignment horizontal="center" vertical="center"/>
      <protection locked="0"/>
    </xf>
    <xf numFmtId="165" fontId="4" fillId="9" borderId="53" xfId="0" applyNumberFormat="1" applyFont="1" applyFill="1" applyBorder="1" applyAlignment="1" applyProtection="1">
      <alignment horizontal="center" vertical="center"/>
      <protection locked="0"/>
    </xf>
    <xf numFmtId="0" fontId="3" fillId="5" borderId="34" xfId="0" applyFont="1" applyFill="1" applyBorder="1" applyAlignment="1" applyProtection="1">
      <alignment horizontal="center"/>
      <protection hidden="1"/>
    </xf>
    <xf numFmtId="0" fontId="3" fillId="5" borderId="37" xfId="0" applyFont="1" applyFill="1" applyBorder="1" applyAlignment="1" applyProtection="1">
      <alignment horizontal="center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5" fillId="6" borderId="33" xfId="0" applyFont="1" applyFill="1" applyBorder="1" applyAlignment="1" applyProtection="1">
      <alignment horizontal="right"/>
      <protection hidden="1"/>
    </xf>
    <xf numFmtId="0" fontId="5" fillId="6" borderId="69" xfId="0" applyFont="1" applyFill="1" applyBorder="1" applyAlignment="1" applyProtection="1">
      <alignment horizontal="right"/>
      <protection hidden="1"/>
    </xf>
    <xf numFmtId="1" fontId="45" fillId="7" borderId="20" xfId="0" applyNumberFormat="1" applyFont="1" applyFill="1" applyBorder="1" applyAlignment="1" applyProtection="1">
      <alignment horizontal="center" vertical="center"/>
      <protection hidden="1"/>
    </xf>
    <xf numFmtId="0" fontId="12" fillId="6" borderId="20" xfId="0" quotePrefix="1" applyFont="1" applyFill="1" applyBorder="1" applyAlignment="1" applyProtection="1">
      <alignment horizontal="center" vertical="center" wrapText="1"/>
      <protection hidden="1"/>
    </xf>
    <xf numFmtId="0" fontId="5" fillId="6" borderId="20" xfId="0" applyFont="1" applyFill="1" applyBorder="1" applyAlignment="1" applyProtection="1">
      <alignment horizontal="center" vertical="center" wrapText="1"/>
      <protection hidden="1"/>
    </xf>
    <xf numFmtId="0" fontId="5" fillId="6" borderId="70" xfId="0" applyFont="1" applyFill="1" applyBorder="1" applyAlignment="1" applyProtection="1">
      <alignment horizontal="center" vertical="center"/>
      <protection hidden="1"/>
    </xf>
    <xf numFmtId="1" fontId="45" fillId="7" borderId="17" xfId="0" applyNumberFormat="1" applyFont="1" applyFill="1" applyBorder="1" applyAlignment="1" applyProtection="1">
      <alignment horizontal="center" vertical="center"/>
      <protection hidden="1"/>
    </xf>
    <xf numFmtId="2" fontId="45" fillId="7" borderId="19" xfId="0" applyNumberFormat="1" applyFont="1" applyFill="1" applyBorder="1" applyAlignment="1" applyProtection="1">
      <alignment horizontal="center" vertical="center"/>
      <protection hidden="1"/>
    </xf>
    <xf numFmtId="0" fontId="12" fillId="6" borderId="17" xfId="0" quotePrefix="1" applyFont="1" applyFill="1" applyBorder="1" applyAlignment="1" applyProtection="1">
      <alignment horizontal="center" vertical="center" wrapText="1"/>
      <protection hidden="1"/>
    </xf>
    <xf numFmtId="0" fontId="4" fillId="6" borderId="19" xfId="0" quotePrefix="1" applyFont="1" applyFill="1" applyBorder="1" applyAlignment="1" applyProtection="1">
      <alignment horizontal="center" vertical="center" wrapText="1"/>
      <protection hidden="1"/>
    </xf>
    <xf numFmtId="0" fontId="5" fillId="6" borderId="17" xfId="0" applyFont="1" applyFill="1" applyBorder="1" applyAlignment="1" applyProtection="1">
      <alignment horizontal="center" vertical="center" wrapText="1"/>
      <protection hidden="1"/>
    </xf>
    <xf numFmtId="0" fontId="5" fillId="6" borderId="19" xfId="0" applyFont="1" applyFill="1" applyBorder="1" applyAlignment="1" applyProtection="1">
      <alignment horizontal="center" vertical="center" wrapText="1"/>
      <protection hidden="1"/>
    </xf>
    <xf numFmtId="2" fontId="45" fillId="7" borderId="33" xfId="0" applyNumberFormat="1" applyFont="1" applyFill="1" applyBorder="1" applyAlignment="1" applyProtection="1">
      <alignment horizontal="center" vertical="center"/>
      <protection hidden="1"/>
    </xf>
    <xf numFmtId="0" fontId="4" fillId="6" borderId="33" xfId="0" quotePrefix="1" applyFont="1" applyFill="1" applyBorder="1" applyAlignment="1" applyProtection="1">
      <alignment horizontal="center" vertical="center" wrapText="1"/>
      <protection hidden="1"/>
    </xf>
    <xf numFmtId="0" fontId="5" fillId="6" borderId="33" xfId="0" applyFont="1" applyFill="1" applyBorder="1" applyAlignment="1" applyProtection="1">
      <alignment horizontal="center" vertical="center" wrapText="1"/>
      <protection hidden="1"/>
    </xf>
    <xf numFmtId="0" fontId="5" fillId="6" borderId="69" xfId="0" applyFont="1" applyFill="1" applyBorder="1" applyAlignment="1" applyProtection="1">
      <alignment horizontal="center" vertical="center"/>
      <protection hidden="1"/>
    </xf>
    <xf numFmtId="0" fontId="5" fillId="6" borderId="71" xfId="0" applyFont="1" applyFill="1" applyBorder="1" applyAlignment="1" applyProtection="1">
      <alignment horizontal="center" vertical="center"/>
      <protection hidden="1"/>
    </xf>
    <xf numFmtId="0" fontId="5" fillId="6" borderId="66" xfId="0" applyFont="1" applyFill="1" applyBorder="1" applyAlignment="1" applyProtection="1">
      <alignment horizontal="center" vertical="center"/>
      <protection hidden="1"/>
    </xf>
    <xf numFmtId="1" fontId="45" fillId="7" borderId="9" xfId="0" applyNumberFormat="1" applyFont="1" applyFill="1" applyBorder="1" applyAlignment="1" applyProtection="1">
      <alignment horizontal="center" vertical="center"/>
      <protection hidden="1"/>
    </xf>
    <xf numFmtId="2" fontId="45" fillId="7" borderId="10" xfId="0" applyNumberFormat="1" applyFont="1" applyFill="1" applyBorder="1" applyAlignment="1" applyProtection="1">
      <alignment horizontal="center" vertical="center"/>
      <protection hidden="1"/>
    </xf>
    <xf numFmtId="2" fontId="45" fillId="7" borderId="11" xfId="0" applyNumberFormat="1" applyFont="1" applyFill="1" applyBorder="1" applyAlignment="1" applyProtection="1">
      <alignment horizontal="center" vertical="center"/>
      <protection hidden="1"/>
    </xf>
    <xf numFmtId="1" fontId="4" fillId="9" borderId="12" xfId="0" applyNumberFormat="1" applyFont="1" applyFill="1" applyBorder="1" applyAlignment="1" applyProtection="1">
      <alignment horizontal="center" vertical="center"/>
      <protection locked="0"/>
    </xf>
    <xf numFmtId="2" fontId="4" fillId="9" borderId="13" xfId="0" applyNumberFormat="1" applyFont="1" applyFill="1" applyBorder="1" applyAlignment="1" applyProtection="1">
      <alignment horizontal="center" vertical="center"/>
      <protection locked="0"/>
    </xf>
    <xf numFmtId="2" fontId="4" fillId="9" borderId="14" xfId="0" applyNumberFormat="1" applyFont="1" applyFill="1" applyBorder="1" applyAlignment="1" applyProtection="1">
      <alignment horizontal="center" vertical="center"/>
      <protection locked="0"/>
    </xf>
    <xf numFmtId="0" fontId="23" fillId="0" borderId="24" xfId="0" applyNumberFormat="1" applyFont="1" applyBorder="1" applyAlignment="1" applyProtection="1">
      <alignment horizontal="center"/>
      <protection hidden="1"/>
    </xf>
    <xf numFmtId="0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" xfId="4" quotePrefix="1" applyFont="1" applyFill="1" applyBorder="1" applyAlignment="1" applyProtection="1">
      <alignment horizontal="center" vertical="center" wrapText="1"/>
      <protection hidden="1"/>
    </xf>
    <xf numFmtId="166" fontId="0" fillId="0" borderId="24" xfId="0" applyNumberFormat="1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25" xfId="0" applyNumberFormat="1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 vertical="center"/>
      <protection hidden="1"/>
    </xf>
    <xf numFmtId="0" fontId="5" fillId="5" borderId="33" xfId="0" applyFont="1" applyFill="1" applyBorder="1" applyAlignment="1" applyProtection="1">
      <alignment horizontal="center" vertical="center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5" fillId="6" borderId="44" xfId="4" applyFont="1" applyFill="1" applyBorder="1" applyAlignment="1" applyProtection="1">
      <alignment horizontal="center" vertical="center"/>
      <protection hidden="1"/>
    </xf>
    <xf numFmtId="0" fontId="21" fillId="5" borderId="31" xfId="4" applyFont="1" applyFill="1" applyBorder="1" applyAlignment="1" applyProtection="1">
      <alignment horizontal="center" vertical="center" wrapText="1"/>
      <protection hidden="1"/>
    </xf>
    <xf numFmtId="0" fontId="5" fillId="6" borderId="16" xfId="4" quotePrefix="1" applyFont="1" applyFill="1" applyBorder="1" applyAlignment="1" applyProtection="1">
      <alignment horizontal="right" vertical="center"/>
      <protection hidden="1"/>
    </xf>
    <xf numFmtId="166" fontId="5" fillId="6" borderId="1" xfId="4" applyNumberFormat="1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2" fontId="5" fillId="8" borderId="1" xfId="0" applyNumberFormat="1" applyFont="1" applyFill="1" applyBorder="1" applyAlignment="1" applyProtection="1">
      <alignment horizontal="center" vertical="center"/>
      <protection hidden="1"/>
    </xf>
    <xf numFmtId="2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0" borderId="33" xfId="4" applyNumberFormat="1" applyFont="1" applyFill="1" applyBorder="1" applyAlignment="1" applyProtection="1">
      <alignment horizontal="center" vertical="center" wrapText="1"/>
      <protection hidden="1"/>
    </xf>
    <xf numFmtId="2" fontId="5" fillId="6" borderId="10" xfId="4" applyNumberFormat="1" applyFont="1" applyFill="1" applyBorder="1" applyAlignment="1" applyProtection="1">
      <alignment horizontal="center" vertical="center"/>
      <protection hidden="1"/>
    </xf>
    <xf numFmtId="0" fontId="5" fillId="5" borderId="31" xfId="4" quotePrefix="1" applyFont="1" applyFill="1" applyBorder="1" applyAlignment="1" applyProtection="1">
      <alignment horizontal="center" vertical="center" wrapText="1"/>
      <protection hidden="1"/>
    </xf>
    <xf numFmtId="2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0" borderId="53" xfId="4" applyNumberFormat="1" applyFont="1" applyFill="1" applyBorder="1" applyAlignment="1" applyProtection="1">
      <alignment horizontal="center" vertical="center" wrapText="1"/>
      <protection hidden="1"/>
    </xf>
    <xf numFmtId="166" fontId="5" fillId="6" borderId="1" xfId="4" quotePrefix="1" applyNumberFormat="1" applyFont="1" applyFill="1" applyBorder="1" applyAlignment="1" applyProtection="1">
      <alignment horizontal="center" vertical="center"/>
      <protection hidden="1"/>
    </xf>
    <xf numFmtId="166" fontId="5" fillId="6" borderId="33" xfId="4" quotePrefix="1" applyNumberFormat="1" applyFont="1" applyFill="1" applyBorder="1" applyAlignment="1" applyProtection="1">
      <alignment horizontal="center" vertical="center"/>
      <protection hidden="1"/>
    </xf>
    <xf numFmtId="166" fontId="5" fillId="6" borderId="19" xfId="4" quotePrefix="1" applyNumberFormat="1" applyFont="1" applyFill="1" applyBorder="1" applyAlignment="1" applyProtection="1">
      <alignment horizontal="center" vertical="center"/>
      <protection hidden="1"/>
    </xf>
    <xf numFmtId="0" fontId="3" fillId="0" borderId="0" xfId="4" applyBorder="1"/>
    <xf numFmtId="2" fontId="5" fillId="6" borderId="11" xfId="4" applyNumberFormat="1" applyFont="1" applyFill="1" applyBorder="1" applyAlignment="1" applyProtection="1">
      <alignment horizontal="center" vertical="center"/>
      <protection hidden="1"/>
    </xf>
    <xf numFmtId="166" fontId="5" fillId="6" borderId="19" xfId="4" applyNumberFormat="1" applyFont="1" applyFill="1" applyBorder="1" applyAlignment="1" applyProtection="1">
      <alignment horizontal="center" vertical="center"/>
      <protection hidden="1"/>
    </xf>
    <xf numFmtId="0" fontId="5" fillId="6" borderId="10" xfId="4" quotePrefix="1" applyFont="1" applyFill="1" applyBorder="1" applyAlignment="1" applyProtection="1">
      <alignment horizontal="center" vertical="center"/>
      <protection hidden="1"/>
    </xf>
    <xf numFmtId="0" fontId="5" fillId="5" borderId="1" xfId="4" applyFont="1" applyFill="1" applyBorder="1" applyAlignment="1" applyProtection="1">
      <alignment horizontal="right"/>
      <protection hidden="1"/>
    </xf>
    <xf numFmtId="2" fontId="27" fillId="7" borderId="10" xfId="0" applyNumberFormat="1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/>
      <protection hidden="1"/>
    </xf>
    <xf numFmtId="1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33" xfId="0" applyFont="1" applyFill="1" applyBorder="1" applyProtection="1">
      <protection hidden="1"/>
    </xf>
    <xf numFmtId="0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Protection="1"/>
    <xf numFmtId="0" fontId="33" fillId="0" borderId="0" xfId="0" applyFont="1" applyFill="1" applyProtection="1"/>
    <xf numFmtId="0" fontId="33" fillId="0" borderId="0" xfId="0" applyFont="1" applyFill="1" applyAlignment="1">
      <alignment horizontal="right"/>
    </xf>
    <xf numFmtId="0" fontId="34" fillId="0" borderId="0" xfId="0" applyFont="1" applyFill="1" applyProtection="1"/>
    <xf numFmtId="1" fontId="35" fillId="0" borderId="0" xfId="0" applyNumberFormat="1" applyFont="1" applyFill="1" applyAlignment="1" applyProtection="1">
      <alignment horizontal="left"/>
    </xf>
    <xf numFmtId="0" fontId="36" fillId="0" borderId="0" xfId="0" applyFont="1" applyFill="1" applyProtection="1"/>
    <xf numFmtId="0" fontId="37" fillId="0" borderId="49" xfId="2" applyFont="1" applyFill="1" applyBorder="1" applyAlignment="1" applyProtection="1"/>
    <xf numFmtId="0" fontId="38" fillId="0" borderId="38" xfId="0" applyFont="1" applyFill="1" applyBorder="1" applyProtection="1"/>
    <xf numFmtId="0" fontId="38" fillId="0" borderId="2" xfId="0" applyFont="1" applyFill="1" applyBorder="1" applyProtection="1"/>
    <xf numFmtId="0" fontId="39" fillId="0" borderId="39" xfId="0" applyFont="1" applyFill="1" applyBorder="1" applyAlignment="1">
      <alignment horizontal="right" textRotation="90" wrapText="1"/>
    </xf>
    <xf numFmtId="0" fontId="39" fillId="0" borderId="15" xfId="0" applyFont="1" applyFill="1" applyBorder="1" applyAlignment="1">
      <alignment horizontal="right" textRotation="90" wrapText="1"/>
    </xf>
    <xf numFmtId="0" fontId="39" fillId="0" borderId="28" xfId="0" applyFont="1" applyFill="1" applyBorder="1" applyAlignment="1">
      <alignment horizontal="right" textRotation="90" wrapText="1"/>
    </xf>
    <xf numFmtId="0" fontId="39" fillId="0" borderId="39" xfId="0" applyFont="1" applyFill="1" applyBorder="1" applyAlignment="1">
      <alignment horizontal="right" textRotation="90"/>
    </xf>
    <xf numFmtId="1" fontId="0" fillId="0" borderId="8" xfId="0" applyNumberFormat="1" applyFont="1" applyFill="1" applyBorder="1" applyProtection="1"/>
    <xf numFmtId="0" fontId="0" fillId="0" borderId="8" xfId="0" applyFont="1" applyFill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37" fillId="0" borderId="51" xfId="0" applyFont="1" applyFill="1" applyBorder="1"/>
    <xf numFmtId="0" fontId="37" fillId="0" borderId="52" xfId="0" applyFont="1" applyFill="1" applyBorder="1"/>
    <xf numFmtId="0" fontId="37" fillId="0" borderId="52" xfId="0" applyFont="1" applyFill="1" applyBorder="1" applyProtection="1"/>
    <xf numFmtId="0" fontId="37" fillId="0" borderId="10" xfId="0" applyFont="1" applyFill="1" applyBorder="1" applyAlignment="1">
      <alignment horizontal="right"/>
    </xf>
    <xf numFmtId="0" fontId="37" fillId="0" borderId="37" xfId="0" applyFont="1" applyFill="1" applyBorder="1" applyAlignment="1">
      <alignment horizontal="right"/>
    </xf>
    <xf numFmtId="0" fontId="37" fillId="0" borderId="9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right"/>
    </xf>
    <xf numFmtId="0" fontId="37" fillId="0" borderId="16" xfId="0" applyFont="1" applyFill="1" applyBorder="1" applyAlignment="1">
      <alignment horizontal="right"/>
    </xf>
    <xf numFmtId="0" fontId="37" fillId="0" borderId="24" xfId="0" applyFont="1" applyFill="1" applyBorder="1"/>
    <xf numFmtId="0" fontId="37" fillId="0" borderId="41" xfId="0" applyFont="1" applyFill="1" applyBorder="1" applyProtection="1"/>
    <xf numFmtId="0" fontId="37" fillId="0" borderId="1" xfId="0" applyFont="1" applyFill="1" applyBorder="1" applyAlignment="1">
      <alignment horizontal="right"/>
    </xf>
    <xf numFmtId="0" fontId="37" fillId="0" borderId="33" xfId="0" applyFont="1" applyFill="1" applyBorder="1" applyAlignment="1">
      <alignment horizontal="right"/>
    </xf>
    <xf numFmtId="0" fontId="37" fillId="0" borderId="17" xfId="0" applyFont="1" applyFill="1" applyBorder="1" applyAlignment="1">
      <alignment horizontal="right"/>
    </xf>
    <xf numFmtId="0" fontId="37" fillId="0" borderId="19" xfId="0" applyFont="1" applyFill="1" applyBorder="1" applyAlignment="1">
      <alignment horizontal="right"/>
    </xf>
    <xf numFmtId="0" fontId="37" fillId="0" borderId="20" xfId="0" applyFont="1" applyFill="1" applyBorder="1" applyAlignment="1">
      <alignment horizontal="right"/>
    </xf>
    <xf numFmtId="0" fontId="37" fillId="0" borderId="24" xfId="0" applyFont="1" applyFill="1" applyBorder="1" applyAlignment="1">
      <alignment horizontal="right"/>
    </xf>
    <xf numFmtId="0" fontId="37" fillId="0" borderId="41" xfId="0" applyFont="1" applyFill="1" applyBorder="1"/>
    <xf numFmtId="0" fontId="37" fillId="0" borderId="24" xfId="0" applyFont="1" applyFill="1" applyBorder="1" applyAlignment="1">
      <alignment horizontal="right" vertical="center"/>
    </xf>
    <xf numFmtId="0" fontId="37" fillId="0" borderId="41" xfId="0" applyFont="1" applyFill="1" applyBorder="1" applyAlignment="1" applyProtection="1">
      <alignment vertical="center" wrapText="1"/>
    </xf>
    <xf numFmtId="0" fontId="37" fillId="0" borderId="27" xfId="0" applyFont="1" applyFill="1" applyBorder="1"/>
    <xf numFmtId="0" fontId="37" fillId="0" borderId="4" xfId="0" applyFont="1" applyFill="1" applyBorder="1"/>
    <xf numFmtId="0" fontId="37" fillId="0" borderId="42" xfId="0" applyFont="1" applyFill="1" applyBorder="1"/>
    <xf numFmtId="0" fontId="37" fillId="0" borderId="26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0" fontId="37" fillId="0" borderId="53" xfId="0" applyFont="1" applyFill="1" applyBorder="1" applyAlignment="1">
      <alignment horizontal="right"/>
    </xf>
    <xf numFmtId="0" fontId="37" fillId="0" borderId="12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right"/>
    </xf>
    <xf numFmtId="0" fontId="37" fillId="0" borderId="41" xfId="0" applyFont="1" applyFill="1" applyBorder="1" applyAlignment="1">
      <alignment horizontal="right"/>
    </xf>
    <xf numFmtId="0" fontId="37" fillId="0" borderId="17" xfId="0" applyFont="1" applyFill="1" applyBorder="1" applyProtection="1"/>
    <xf numFmtId="0" fontId="37" fillId="0" borderId="50" xfId="0" applyFont="1" applyFill="1" applyBorder="1" applyAlignment="1">
      <alignment horizontal="right"/>
    </xf>
    <xf numFmtId="0" fontId="37" fillId="0" borderId="41" xfId="0" applyFont="1" applyFill="1" applyBorder="1" applyAlignment="1">
      <alignment horizontal="right" vertical="center"/>
    </xf>
    <xf numFmtId="0" fontId="37" fillId="0" borderId="20" xfId="1" applyFont="1" applyFill="1" applyBorder="1" applyAlignment="1" applyProtection="1">
      <alignment horizontal="right" wrapText="1"/>
      <protection locked="0"/>
    </xf>
    <xf numFmtId="0" fontId="37" fillId="0" borderId="1" xfId="1" applyFont="1" applyFill="1" applyBorder="1" applyAlignment="1" applyProtection="1">
      <alignment horizontal="right"/>
      <protection locked="0"/>
    </xf>
    <xf numFmtId="0" fontId="37" fillId="0" borderId="33" xfId="1" applyFont="1" applyFill="1" applyBorder="1" applyAlignment="1">
      <alignment horizontal="right"/>
    </xf>
    <xf numFmtId="0" fontId="37" fillId="0" borderId="17" xfId="1" applyFont="1" applyFill="1" applyBorder="1" applyAlignment="1" applyProtection="1">
      <alignment horizontal="right"/>
      <protection locked="0"/>
    </xf>
    <xf numFmtId="0" fontId="37" fillId="0" borderId="1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 applyProtection="1">
      <alignment horizontal="right" wrapText="1"/>
      <protection locked="0"/>
    </xf>
    <xf numFmtId="0" fontId="47" fillId="0" borderId="41" xfId="0" applyFont="1" applyFill="1" applyBorder="1" applyAlignment="1">
      <alignment horizontal="right"/>
    </xf>
    <xf numFmtId="0" fontId="47" fillId="0" borderId="17" xfId="0" applyFont="1" applyFill="1" applyBorder="1" applyProtection="1"/>
    <xf numFmtId="0" fontId="47" fillId="0" borderId="17" xfId="0" applyFont="1" applyFill="1" applyBorder="1" applyAlignment="1">
      <alignment horizontal="right"/>
    </xf>
    <xf numFmtId="0" fontId="47" fillId="0" borderId="1" xfId="0" applyFont="1" applyFill="1" applyBorder="1" applyAlignment="1">
      <alignment horizontal="right"/>
    </xf>
    <xf numFmtId="0" fontId="47" fillId="0" borderId="19" xfId="0" applyFont="1" applyFill="1" applyBorder="1" applyAlignment="1">
      <alignment horizontal="right"/>
    </xf>
    <xf numFmtId="0" fontId="47" fillId="0" borderId="20" xfId="0" applyFont="1" applyFill="1" applyBorder="1" applyAlignment="1">
      <alignment horizontal="right"/>
    </xf>
    <xf numFmtId="0" fontId="47" fillId="0" borderId="9" xfId="0" applyFont="1" applyFill="1" applyBorder="1" applyProtection="1"/>
    <xf numFmtId="0" fontId="47" fillId="0" borderId="9" xfId="0" applyFont="1" applyFill="1" applyBorder="1" applyAlignment="1">
      <alignment horizontal="right"/>
    </xf>
    <xf numFmtId="0" fontId="47" fillId="0" borderId="10" xfId="0" applyFont="1" applyFill="1" applyBorder="1" applyAlignment="1">
      <alignment horizontal="right"/>
    </xf>
    <xf numFmtId="0" fontId="47" fillId="0" borderId="11" xfId="0" applyFont="1" applyFill="1" applyBorder="1" applyAlignment="1">
      <alignment horizontal="right"/>
    </xf>
    <xf numFmtId="0" fontId="47" fillId="0" borderId="22" xfId="0" applyFont="1" applyFill="1" applyBorder="1" applyAlignment="1">
      <alignment horizontal="right"/>
    </xf>
    <xf numFmtId="0" fontId="47" fillId="0" borderId="39" xfId="0" applyFont="1" applyFill="1" applyBorder="1" applyAlignment="1">
      <alignment horizontal="right"/>
    </xf>
    <xf numFmtId="0" fontId="47" fillId="0" borderId="15" xfId="0" applyFont="1" applyFill="1" applyBorder="1" applyAlignment="1">
      <alignment horizontal="right"/>
    </xf>
    <xf numFmtId="0" fontId="47" fillId="0" borderId="28" xfId="0" applyFont="1" applyFill="1" applyBorder="1" applyAlignment="1">
      <alignment horizontal="right"/>
    </xf>
    <xf numFmtId="0" fontId="47" fillId="0" borderId="41" xfId="0" applyFont="1" applyFill="1" applyBorder="1" applyAlignment="1">
      <alignment horizontal="right" vertical="top" wrapText="1"/>
    </xf>
    <xf numFmtId="0" fontId="47" fillId="0" borderId="42" xfId="0" applyFont="1" applyFill="1" applyBorder="1" applyAlignment="1">
      <alignment horizontal="right"/>
    </xf>
    <xf numFmtId="0" fontId="47" fillId="0" borderId="42" xfId="0" applyFont="1" applyFill="1" applyBorder="1" applyProtection="1"/>
    <xf numFmtId="0" fontId="47" fillId="0" borderId="26" xfId="0" applyFont="1" applyFill="1" applyBorder="1" applyAlignment="1">
      <alignment horizontal="right"/>
    </xf>
    <xf numFmtId="0" fontId="47" fillId="0" borderId="13" xfId="0" applyFont="1" applyFill="1" applyBorder="1" applyAlignment="1">
      <alignment horizontal="right"/>
    </xf>
    <xf numFmtId="0" fontId="47" fillId="0" borderId="53" xfId="0" applyFont="1" applyFill="1" applyBorder="1" applyAlignment="1">
      <alignment horizontal="right"/>
    </xf>
    <xf numFmtId="0" fontId="47" fillId="0" borderId="12" xfId="0" applyFont="1" applyFill="1" applyBorder="1" applyAlignment="1">
      <alignment horizontal="right"/>
    </xf>
    <xf numFmtId="0" fontId="47" fillId="0" borderId="14" xfId="0" applyFont="1" applyFill="1" applyBorder="1" applyAlignment="1">
      <alignment horizontal="right"/>
    </xf>
    <xf numFmtId="0" fontId="37" fillId="0" borderId="3" xfId="0" applyFont="1" applyFill="1" applyBorder="1"/>
    <xf numFmtId="0" fontId="0" fillId="0" borderId="51" xfId="0" applyFont="1" applyFill="1" applyBorder="1" applyAlignment="1" applyProtection="1">
      <alignment horizontal="left"/>
    </xf>
    <xf numFmtId="0" fontId="37" fillId="0" borderId="32" xfId="0" applyFont="1" applyFill="1" applyBorder="1" applyProtection="1"/>
    <xf numFmtId="0" fontId="37" fillId="0" borderId="32" xfId="0" applyFont="1" applyFill="1" applyBorder="1" applyAlignment="1">
      <alignment horizontal="right"/>
    </xf>
    <xf numFmtId="0" fontId="37" fillId="0" borderId="31" xfId="0" applyFont="1" applyFill="1" applyBorder="1" applyAlignment="1">
      <alignment horizontal="right"/>
    </xf>
    <xf numFmtId="0" fontId="37" fillId="0" borderId="55" xfId="0" applyFont="1" applyFill="1" applyBorder="1" applyAlignment="1">
      <alignment horizontal="right"/>
    </xf>
    <xf numFmtId="0" fontId="37" fillId="0" borderId="56" xfId="0" applyFont="1" applyFill="1" applyBorder="1" applyAlignment="1">
      <alignment horizontal="right"/>
    </xf>
    <xf numFmtId="0" fontId="37" fillId="0" borderId="47" xfId="0" applyFont="1" applyFill="1" applyBorder="1" applyAlignment="1">
      <alignment horizontal="right"/>
    </xf>
    <xf numFmtId="0" fontId="37" fillId="0" borderId="48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0" fillId="0" borderId="24" xfId="0" applyFont="1" applyFill="1" applyBorder="1" applyAlignment="1" applyProtection="1">
      <alignment horizontal="left"/>
    </xf>
    <xf numFmtId="0" fontId="37" fillId="0" borderId="21" xfId="0" applyFont="1" applyFill="1" applyBorder="1" applyProtection="1"/>
    <xf numFmtId="0" fontId="37" fillId="0" borderId="21" xfId="0" applyFont="1" applyFill="1" applyBorder="1" applyAlignment="1">
      <alignment horizontal="right"/>
    </xf>
    <xf numFmtId="0" fontId="37" fillId="0" borderId="18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23" xfId="0" applyFont="1" applyFill="1" applyBorder="1" applyAlignment="1">
      <alignment horizontal="right"/>
    </xf>
    <xf numFmtId="0" fontId="37" fillId="0" borderId="34" xfId="0" applyFont="1" applyFill="1" applyBorder="1" applyAlignment="1">
      <alignment horizontal="right"/>
    </xf>
    <xf numFmtId="0" fontId="37" fillId="0" borderId="17" xfId="0" applyFont="1" applyFill="1" applyBorder="1" applyAlignment="1" applyProtection="1">
      <alignment horizontal="left"/>
    </xf>
    <xf numFmtId="0" fontId="37" fillId="0" borderId="52" xfId="0" applyFont="1" applyFill="1" applyBorder="1" applyAlignment="1" applyProtection="1">
      <alignment horizontal="left"/>
    </xf>
    <xf numFmtId="0" fontId="37" fillId="0" borderId="41" xfId="0" applyFont="1" applyFill="1" applyBorder="1" applyAlignment="1" applyProtection="1">
      <alignment horizontal="left"/>
    </xf>
    <xf numFmtId="0" fontId="0" fillId="0" borderId="42" xfId="0" applyFont="1" applyFill="1" applyBorder="1" applyAlignment="1" applyProtection="1">
      <alignment horizontal="left"/>
    </xf>
    <xf numFmtId="0" fontId="37" fillId="0" borderId="42" xfId="0" applyFont="1" applyFill="1" applyBorder="1" applyAlignment="1" applyProtection="1">
      <alignment horizontal="left"/>
    </xf>
    <xf numFmtId="0" fontId="37" fillId="0" borderId="57" xfId="0" applyFont="1" applyFill="1" applyBorder="1"/>
    <xf numFmtId="0" fontId="0" fillId="0" borderId="24" xfId="0" applyFont="1" applyFill="1" applyBorder="1" applyProtection="1"/>
    <xf numFmtId="0" fontId="37" fillId="0" borderId="9" xfId="0" applyFont="1" applyFill="1" applyBorder="1" applyProtection="1"/>
    <xf numFmtId="0" fontId="37" fillId="0" borderId="59" xfId="0" applyFont="1" applyFill="1" applyBorder="1"/>
    <xf numFmtId="0" fontId="0" fillId="0" borderId="42" xfId="0" applyFont="1" applyFill="1" applyBorder="1" applyProtection="1"/>
    <xf numFmtId="0" fontId="37" fillId="0" borderId="42" xfId="0" applyFont="1" applyFill="1" applyBorder="1" applyProtection="1"/>
    <xf numFmtId="0" fontId="37" fillId="0" borderId="2" xfId="0" applyFont="1" applyFill="1" applyBorder="1"/>
    <xf numFmtId="0" fontId="37" fillId="0" borderId="54" xfId="0" applyFont="1" applyFill="1" applyBorder="1" applyAlignment="1">
      <alignment horizontal="right"/>
    </xf>
    <xf numFmtId="0" fontId="37" fillId="0" borderId="25" xfId="0" applyFont="1" applyFill="1" applyBorder="1" applyAlignment="1">
      <alignment horizontal="right"/>
    </xf>
    <xf numFmtId="0" fontId="37" fillId="0" borderId="17" xfId="0" applyFont="1" applyFill="1" applyBorder="1"/>
    <xf numFmtId="0" fontId="37" fillId="0" borderId="17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>
      <alignment horizontal="right"/>
    </xf>
    <xf numFmtId="0" fontId="37" fillId="0" borderId="25" xfId="1" applyFont="1" applyFill="1" applyBorder="1" applyAlignment="1">
      <alignment horizontal="right"/>
    </xf>
    <xf numFmtId="0" fontId="37" fillId="0" borderId="12" xfId="0" applyFont="1" applyFill="1" applyBorder="1" applyProtection="1"/>
    <xf numFmtId="0" fontId="37" fillId="0" borderId="14" xfId="1" applyFont="1" applyFill="1" applyBorder="1" applyAlignment="1">
      <alignment horizontal="right"/>
    </xf>
    <xf numFmtId="0" fontId="37" fillId="0" borderId="60" xfId="0" applyFont="1" applyFill="1" applyBorder="1" applyAlignment="1">
      <alignment horizontal="right"/>
    </xf>
    <xf numFmtId="1" fontId="37" fillId="0" borderId="41" xfId="0" applyNumberFormat="1" applyFont="1" applyFill="1" applyBorder="1" applyProtection="1"/>
    <xf numFmtId="0" fontId="37" fillId="0" borderId="24" xfId="0" applyFont="1" applyFill="1" applyBorder="1" applyAlignment="1" applyProtection="1">
      <alignment horizontal="right"/>
    </xf>
    <xf numFmtId="0" fontId="37" fillId="0" borderId="1" xfId="0" applyFont="1" applyFill="1" applyBorder="1" applyAlignment="1" applyProtection="1">
      <alignment horizontal="right"/>
    </xf>
    <xf numFmtId="0" fontId="37" fillId="0" borderId="54" xfId="0" applyFont="1" applyFill="1" applyBorder="1" applyAlignment="1" applyProtection="1">
      <alignment horizontal="right"/>
    </xf>
    <xf numFmtId="0" fontId="37" fillId="0" borderId="25" xfId="0" applyFont="1" applyFill="1" applyBorder="1" applyAlignment="1" applyProtection="1">
      <alignment horizontal="right"/>
    </xf>
    <xf numFmtId="0" fontId="37" fillId="0" borderId="17" xfId="0" applyFont="1" applyFill="1" applyBorder="1" applyAlignment="1" applyProtection="1">
      <alignment horizontal="right"/>
    </xf>
    <xf numFmtId="0" fontId="37" fillId="0" borderId="24" xfId="2" applyFont="1" applyFill="1" applyBorder="1" applyAlignment="1" applyProtection="1"/>
    <xf numFmtId="0" fontId="37" fillId="0" borderId="41" xfId="0" applyFont="1" applyFill="1" applyBorder="1" applyAlignment="1">
      <alignment horizontal="left"/>
    </xf>
    <xf numFmtId="0" fontId="37" fillId="0" borderId="51" xfId="0" applyFont="1" applyFill="1" applyBorder="1" applyAlignment="1">
      <alignment horizontal="right"/>
    </xf>
    <xf numFmtId="0" fontId="37" fillId="0" borderId="58" xfId="0" applyFont="1" applyFill="1" applyBorder="1" applyAlignment="1">
      <alignment horizontal="right"/>
    </xf>
    <xf numFmtId="0" fontId="37" fillId="0" borderId="45" xfId="0" applyFont="1" applyFill="1" applyBorder="1" applyAlignment="1">
      <alignment horizontal="right"/>
    </xf>
    <xf numFmtId="165" fontId="37" fillId="0" borderId="54" xfId="0" applyNumberFormat="1" applyFont="1" applyFill="1" applyBorder="1" applyAlignment="1">
      <alignment horizontal="right"/>
    </xf>
    <xf numFmtId="165" fontId="37" fillId="0" borderId="25" xfId="0" applyNumberFormat="1" applyFont="1" applyFill="1" applyBorder="1" applyAlignment="1">
      <alignment horizontal="right"/>
    </xf>
    <xf numFmtId="167" fontId="37" fillId="0" borderId="25" xfId="0" applyNumberFormat="1" applyFont="1" applyFill="1" applyBorder="1" applyAlignment="1">
      <alignment horizontal="right"/>
    </xf>
    <xf numFmtId="1" fontId="37" fillId="0" borderId="24" xfId="0" applyNumberFormat="1" applyFont="1" applyFill="1" applyBorder="1" applyAlignment="1">
      <alignment horizontal="right"/>
    </xf>
    <xf numFmtId="2" fontId="37" fillId="0" borderId="54" xfId="0" applyNumberFormat="1" applyFont="1" applyFill="1" applyBorder="1" applyAlignment="1">
      <alignment horizontal="right"/>
    </xf>
    <xf numFmtId="2" fontId="37" fillId="0" borderId="25" xfId="0" applyNumberFormat="1" applyFont="1" applyFill="1" applyBorder="1" applyAlignment="1">
      <alignment horizontal="right"/>
    </xf>
    <xf numFmtId="0" fontId="37" fillId="0" borderId="3" xfId="0" applyFont="1" applyFill="1" applyBorder="1" applyAlignment="1">
      <alignment vertical="top" wrapText="1"/>
    </xf>
    <xf numFmtId="0" fontId="37" fillId="0" borderId="41" xfId="2" applyFont="1" applyFill="1" applyBorder="1" applyAlignment="1" applyProtection="1">
      <alignment horizontal="left"/>
    </xf>
    <xf numFmtId="0" fontId="37" fillId="0" borderId="41" xfId="0" applyFont="1" applyFill="1" applyBorder="1" applyAlignment="1">
      <alignment vertical="top" wrapText="1"/>
    </xf>
    <xf numFmtId="0" fontId="37" fillId="0" borderId="41" xfId="0" applyFont="1" applyFill="1" applyBorder="1" applyAlignment="1">
      <alignment horizontal="right" vertical="top"/>
    </xf>
    <xf numFmtId="0" fontId="37" fillId="0" borderId="3" xfId="0" applyFont="1" applyFill="1" applyBorder="1" applyAlignment="1">
      <alignment horizontal="right"/>
    </xf>
    <xf numFmtId="0" fontId="37" fillId="0" borderId="43" xfId="0" applyFont="1" applyFill="1" applyBorder="1" applyProtection="1"/>
    <xf numFmtId="0" fontId="47" fillId="0" borderId="53" xfId="0" applyFont="1" applyFill="1" applyBorder="1" applyAlignment="1">
      <alignment horizontal="left"/>
    </xf>
    <xf numFmtId="0" fontId="47" fillId="0" borderId="72" xfId="6" applyFont="1" applyFill="1" applyBorder="1" applyAlignment="1">
      <alignment horizontal="right"/>
    </xf>
    <xf numFmtId="0" fontId="47" fillId="0" borderId="73" xfId="6" applyFont="1" applyFill="1" applyBorder="1" applyAlignment="1">
      <alignment horizontal="right"/>
    </xf>
    <xf numFmtId="0" fontId="47" fillId="0" borderId="74" xfId="6" applyFont="1" applyFill="1" applyBorder="1" applyAlignment="1">
      <alignment horizontal="right"/>
    </xf>
    <xf numFmtId="0" fontId="49" fillId="0" borderId="72" xfId="6" applyFont="1" applyFill="1" applyBorder="1" applyAlignment="1">
      <alignment horizontal="right"/>
    </xf>
    <xf numFmtId="0" fontId="49" fillId="0" borderId="73" xfId="6" applyFont="1" applyFill="1" applyBorder="1" applyAlignment="1">
      <alignment horizontal="right"/>
    </xf>
    <xf numFmtId="0" fontId="47" fillId="0" borderId="75" xfId="6" applyFont="1" applyFill="1" applyBorder="1" applyAlignment="1">
      <alignment horizontal="right"/>
    </xf>
    <xf numFmtId="0" fontId="47" fillId="0" borderId="76" xfId="6" applyFont="1" applyFill="1" applyBorder="1" applyAlignment="1">
      <alignment horizontal="right"/>
    </xf>
    <xf numFmtId="0" fontId="47" fillId="0" borderId="68" xfId="6" applyFont="1" applyFill="1" applyBorder="1" applyAlignment="1">
      <alignment horizontal="right"/>
    </xf>
    <xf numFmtId="1" fontId="37" fillId="0" borderId="0" xfId="0" applyNumberFormat="1" applyFont="1" applyFill="1" applyProtection="1"/>
    <xf numFmtId="0" fontId="37" fillId="0" borderId="0" xfId="0" applyFont="1" applyFill="1" applyProtection="1"/>
    <xf numFmtId="0" fontId="37" fillId="0" borderId="0" xfId="0" applyFont="1" applyFill="1" applyAlignment="1">
      <alignment horizontal="right"/>
    </xf>
    <xf numFmtId="1" fontId="37" fillId="0" borderId="0" xfId="0" applyNumberFormat="1" applyFont="1" applyFill="1" applyAlignment="1" applyProtection="1">
      <alignment vertical="top"/>
    </xf>
    <xf numFmtId="1" fontId="43" fillId="0" borderId="0" xfId="0" applyNumberFormat="1" applyFont="1" applyFill="1" applyProtection="1"/>
    <xf numFmtId="0" fontId="37" fillId="0" borderId="0" xfId="0" applyFont="1" applyFill="1" applyAlignment="1" applyProtection="1"/>
    <xf numFmtId="0" fontId="20" fillId="0" borderId="0" xfId="0" applyFont="1"/>
    <xf numFmtId="1" fontId="38" fillId="0" borderId="0" xfId="0" applyNumberFormat="1" applyFont="1" applyFill="1" applyProtection="1"/>
    <xf numFmtId="0" fontId="3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" fontId="0" fillId="0" borderId="0" xfId="0" applyNumberFormat="1"/>
    <xf numFmtId="0" fontId="5" fillId="5" borderId="33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5" borderId="33" xfId="0" applyFont="1" applyFill="1" applyBorder="1" applyAlignment="1" applyProtection="1">
      <alignment horizontal="center" wrapText="1"/>
      <protection hidden="1"/>
    </xf>
    <xf numFmtId="0" fontId="5" fillId="5" borderId="20" xfId="0" applyFont="1" applyFill="1" applyBorder="1" applyAlignment="1" applyProtection="1">
      <alignment horizontal="center" wrapText="1"/>
      <protection hidden="1"/>
    </xf>
    <xf numFmtId="0" fontId="5" fillId="5" borderId="33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5" fillId="5" borderId="33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9" borderId="33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3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7" borderId="33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3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vertical="top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5" borderId="33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8" borderId="33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3" fillId="8" borderId="33" xfId="0" applyNumberFormat="1" applyFont="1" applyFill="1" applyBorder="1" applyAlignment="1" applyProtection="1">
      <alignment horizontal="center" vertical="center"/>
      <protection hidden="1"/>
    </xf>
    <xf numFmtId="0" fontId="3" fillId="8" borderId="20" xfId="0" applyNumberFormat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Border="1" applyAlignment="1" applyProtection="1">
      <alignment horizontal="left" vertical="top" wrapText="1"/>
      <protection hidden="1"/>
    </xf>
    <xf numFmtId="0" fontId="12" fillId="4" borderId="33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3" borderId="46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horizontal="right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14" fontId="13" fillId="8" borderId="33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3" xfId="0" applyNumberFormat="1" applyFont="1" applyFill="1" applyBorder="1" applyAlignment="1" applyProtection="1">
      <alignment horizontal="right"/>
      <protection hidden="1"/>
    </xf>
    <xf numFmtId="0" fontId="13" fillId="3" borderId="20" xfId="0" applyNumberFormat="1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35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12" fillId="5" borderId="35" xfId="0" applyFont="1" applyFill="1" applyBorder="1" applyAlignment="1" applyProtection="1">
      <alignment horizontal="center"/>
      <protection hidden="1"/>
    </xf>
    <xf numFmtId="0" fontId="12" fillId="5" borderId="32" xfId="0" applyFont="1" applyFill="1" applyBorder="1" applyAlignment="1" applyProtection="1">
      <alignment horizontal="center" vertical="center" wrapText="1"/>
      <protection hidden="1"/>
    </xf>
    <xf numFmtId="0" fontId="12" fillId="5" borderId="31" xfId="0" applyFont="1" applyFill="1" applyBorder="1" applyAlignment="1" applyProtection="1">
      <alignment horizontal="center" vertical="center" wrapText="1"/>
      <protection hidden="1"/>
    </xf>
    <xf numFmtId="0" fontId="12" fillId="5" borderId="30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5" fillId="3" borderId="18" xfId="0" applyFont="1" applyFill="1" applyBorder="1" applyAlignment="1" applyProtection="1">
      <alignment horizontal="left" vertical="center"/>
      <protection hidden="1"/>
    </xf>
    <xf numFmtId="0" fontId="12" fillId="5" borderId="29" xfId="0" applyFont="1" applyFill="1" applyBorder="1" applyAlignment="1" applyProtection="1">
      <alignment horizontal="center" vertical="center" wrapText="1"/>
      <protection hidden="1"/>
    </xf>
    <xf numFmtId="0" fontId="12" fillId="5" borderId="64" xfId="0" applyFont="1" applyFill="1" applyBorder="1" applyAlignment="1" applyProtection="1">
      <alignment horizontal="center" vertical="center" wrapText="1"/>
      <protection hidden="1"/>
    </xf>
    <xf numFmtId="0" fontId="12" fillId="5" borderId="65" xfId="0" applyFont="1" applyFill="1" applyBorder="1" applyAlignment="1" applyProtection="1">
      <alignment horizontal="center" vertical="center" wrapText="1"/>
      <protection hidden="1"/>
    </xf>
    <xf numFmtId="0" fontId="5" fillId="9" borderId="33" xfId="0" applyFont="1" applyFill="1" applyBorder="1" applyAlignment="1" applyProtection="1">
      <alignment horizontal="left"/>
      <protection locked="0"/>
    </xf>
    <xf numFmtId="0" fontId="5" fillId="9" borderId="25" xfId="0" applyFont="1" applyFill="1" applyBorder="1" applyAlignment="1" applyProtection="1">
      <alignment horizontal="left"/>
      <protection locked="0"/>
    </xf>
    <xf numFmtId="0" fontId="5" fillId="9" borderId="20" xfId="0" applyFont="1" applyFill="1" applyBorder="1" applyAlignment="1" applyProtection="1">
      <alignment horizontal="left"/>
      <protection locked="0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4" fillId="5" borderId="38" xfId="0" applyFont="1" applyFill="1" applyBorder="1" applyAlignment="1" applyProtection="1">
      <alignment horizontal="center" vertical="top" wrapText="1"/>
      <protection hidden="1"/>
    </xf>
    <xf numFmtId="0" fontId="4" fillId="5" borderId="63" xfId="0" applyFont="1" applyFill="1" applyBorder="1" applyAlignment="1" applyProtection="1">
      <alignment horizontal="center" vertical="top"/>
      <protection hidden="1"/>
    </xf>
    <xf numFmtId="0" fontId="4" fillId="5" borderId="67" xfId="0" applyFont="1" applyFill="1" applyBorder="1" applyAlignment="1" applyProtection="1">
      <alignment horizontal="center" vertical="top"/>
      <protection hidden="1"/>
    </xf>
    <xf numFmtId="0" fontId="21" fillId="5" borderId="5" xfId="0" applyFont="1" applyFill="1" applyBorder="1" applyAlignment="1" applyProtection="1">
      <alignment horizontal="center"/>
      <protection hidden="1"/>
    </xf>
    <xf numFmtId="0" fontId="21" fillId="5" borderId="6" xfId="0" applyFont="1" applyFill="1" applyBorder="1" applyAlignment="1" applyProtection="1">
      <alignment horizontal="center"/>
      <protection hidden="1"/>
    </xf>
    <xf numFmtId="0" fontId="21" fillId="5" borderId="7" xfId="0" applyFont="1" applyFill="1" applyBorder="1" applyAlignment="1" applyProtection="1">
      <alignment horizontal="center"/>
      <protection hidden="1"/>
    </xf>
    <xf numFmtId="0" fontId="4" fillId="5" borderId="63" xfId="0" applyFont="1" applyFill="1" applyBorder="1" applyAlignment="1" applyProtection="1">
      <alignment horizontal="center" vertical="top" wrapText="1"/>
      <protection hidden="1"/>
    </xf>
    <xf numFmtId="0" fontId="3" fillId="8" borderId="33" xfId="0" applyNumberFormat="1" applyFont="1" applyFill="1" applyBorder="1" applyAlignment="1" applyProtection="1">
      <alignment horizontal="center" vertical="center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locked="0"/>
    </xf>
    <xf numFmtId="0" fontId="3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5" borderId="33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5" fillId="2" borderId="33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4" xfId="4" applyFont="1" applyFill="1" applyBorder="1" applyAlignment="1" applyProtection="1">
      <alignment horizontal="center" vertical="center"/>
      <protection locked="0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21" fillId="5" borderId="62" xfId="4" applyFont="1" applyFill="1" applyBorder="1" applyAlignment="1" applyProtection="1">
      <alignment horizontal="center" vertical="center"/>
      <protection hidden="1"/>
    </xf>
    <xf numFmtId="0" fontId="21" fillId="5" borderId="64" xfId="4" applyFont="1" applyFill="1" applyBorder="1" applyAlignment="1" applyProtection="1">
      <alignment horizontal="center" vertical="center"/>
      <protection hidden="1"/>
    </xf>
    <xf numFmtId="0" fontId="21" fillId="5" borderId="65" xfId="4" applyFont="1" applyFill="1" applyBorder="1" applyAlignment="1" applyProtection="1">
      <alignment horizontal="center" vertical="center"/>
      <protection hidden="1"/>
    </xf>
    <xf numFmtId="0" fontId="5" fillId="5" borderId="33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3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4" fillId="4" borderId="33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3" fillId="3" borderId="57" xfId="4" applyFill="1" applyBorder="1" applyAlignment="1" applyProtection="1">
      <alignment horizontal="left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33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5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2" fontId="5" fillId="3" borderId="33" xfId="4" applyNumberFormat="1" applyFont="1" applyFill="1" applyBorder="1" applyAlignment="1" applyProtection="1">
      <alignment horizontal="left" vertical="center"/>
      <protection hidden="1"/>
    </xf>
    <xf numFmtId="2" fontId="5" fillId="3" borderId="25" xfId="4" applyNumberFormat="1" applyFont="1" applyFill="1" applyBorder="1" applyAlignment="1" applyProtection="1">
      <alignment horizontal="left" vertical="center"/>
      <protection hidden="1"/>
    </xf>
    <xf numFmtId="2" fontId="5" fillId="3" borderId="20" xfId="4" applyNumberFormat="1" applyFont="1" applyFill="1" applyBorder="1" applyAlignment="1" applyProtection="1">
      <alignment horizontal="left" vertical="center"/>
      <protection hidden="1"/>
    </xf>
    <xf numFmtId="0" fontId="10" fillId="5" borderId="1" xfId="4" applyFont="1" applyFill="1" applyBorder="1" applyAlignment="1" applyProtection="1">
      <alignment horizontal="right" vertical="center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14" fontId="13" fillId="3" borderId="33" xfId="4" applyNumberFormat="1" applyFont="1" applyFill="1" applyBorder="1" applyAlignment="1" applyProtection="1">
      <alignment horizontal="left"/>
      <protection hidden="1"/>
    </xf>
    <xf numFmtId="14" fontId="13" fillId="3" borderId="25" xfId="4" applyNumberFormat="1" applyFont="1" applyFill="1" applyBorder="1" applyAlignment="1" applyProtection="1">
      <alignment horizontal="left"/>
      <protection hidden="1"/>
    </xf>
    <xf numFmtId="14" fontId="13" fillId="3" borderId="20" xfId="4" applyNumberFormat="1" applyFont="1" applyFill="1" applyBorder="1" applyAlignment="1" applyProtection="1">
      <alignment horizontal="left"/>
      <protection hidden="1"/>
    </xf>
    <xf numFmtId="0" fontId="13" fillId="3" borderId="33" xfId="4" applyNumberFormat="1" applyFont="1" applyFill="1" applyBorder="1" applyAlignment="1" applyProtection="1">
      <alignment horizontal="left"/>
      <protection hidden="1"/>
    </xf>
    <xf numFmtId="0" fontId="13" fillId="3" borderId="25" xfId="4" applyNumberFormat="1" applyFont="1" applyFill="1" applyBorder="1" applyAlignment="1" applyProtection="1">
      <alignment horizontal="left"/>
      <protection hidden="1"/>
    </xf>
    <xf numFmtId="0" fontId="13" fillId="3" borderId="20" xfId="4" applyNumberFormat="1" applyFont="1" applyFill="1" applyBorder="1" applyAlignment="1" applyProtection="1">
      <alignment horizontal="left"/>
      <protection hidden="1"/>
    </xf>
    <xf numFmtId="0" fontId="38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5" fillId="8" borderId="33" xfId="0" applyNumberFormat="1" applyFont="1" applyFill="1" applyBorder="1" applyAlignment="1" applyProtection="1">
      <alignment horizontal="center" vertical="center"/>
      <protection locked="0"/>
    </xf>
    <xf numFmtId="0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3" xfId="0" applyFont="1" applyFill="1" applyBorder="1" applyAlignment="1" applyProtection="1">
      <alignment horizontal="right"/>
    </xf>
    <xf numFmtId="0" fontId="5" fillId="5" borderId="20" xfId="0" applyFont="1" applyFill="1" applyBorder="1" applyAlignment="1" applyProtection="1">
      <alignment horizontal="right"/>
    </xf>
    <xf numFmtId="0" fontId="23" fillId="0" borderId="29" xfId="0" applyNumberFormat="1" applyFont="1" applyBorder="1" applyAlignment="1" applyProtection="1">
      <alignment horizontal="center"/>
      <protection hidden="1"/>
    </xf>
    <xf numFmtId="0" fontId="23" fillId="0" borderId="64" xfId="0" applyNumberFormat="1" applyFont="1" applyBorder="1" applyAlignment="1" applyProtection="1">
      <alignment horizontal="center"/>
      <protection hidden="1"/>
    </xf>
    <xf numFmtId="0" fontId="23" fillId="0" borderId="65" xfId="0" applyNumberFormat="1" applyFont="1" applyBorder="1" applyAlignment="1" applyProtection="1">
      <alignment horizontal="center"/>
      <protection hidden="1"/>
    </xf>
    <xf numFmtId="0" fontId="23" fillId="0" borderId="24" xfId="0" applyNumberFormat="1" applyFont="1" applyBorder="1" applyAlignment="1" applyProtection="1">
      <alignment horizontal="center"/>
      <protection hidden="1"/>
    </xf>
    <xf numFmtId="0" fontId="23" fillId="0" borderId="25" xfId="0" applyNumberFormat="1" applyFont="1" applyBorder="1" applyAlignment="1" applyProtection="1">
      <alignment horizontal="center"/>
      <protection hidden="1"/>
    </xf>
    <xf numFmtId="0" fontId="23" fillId="0" borderId="54" xfId="0" applyNumberFormat="1" applyFont="1" applyBorder="1" applyAlignment="1" applyProtection="1">
      <alignment horizontal="center"/>
      <protection hidden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5" xfId="0" applyFont="1" applyBorder="1" applyAlignment="1" applyProtection="1">
      <alignment horizontal="center"/>
      <protection hidden="1"/>
    </xf>
    <xf numFmtId="0" fontId="23" fillId="0" borderId="6" xfId="0" applyFont="1" applyBorder="1" applyAlignment="1" applyProtection="1">
      <alignment horizontal="center"/>
      <protection hidden="1"/>
    </xf>
    <xf numFmtId="0" fontId="23" fillId="0" borderId="7" xfId="0" applyFont="1" applyBorder="1" applyAlignment="1" applyProtection="1">
      <alignment horizontal="center"/>
      <protection hidden="1"/>
    </xf>
  </cellXfs>
  <cellStyles count="9">
    <cellStyle name="Hyperlink" xfId="2" builtinId="8"/>
    <cellStyle name="Komma 2" xfId="5" xr:uid="{00000000-0005-0000-0000-000001000000}"/>
    <cellStyle name="Normal" xfId="0" builtinId="0"/>
    <cellStyle name="Normal 11 4" xfId="3" xr:uid="{00000000-0005-0000-0000-000002000000}"/>
    <cellStyle name="Normal 11 4 2" xfId="7" xr:uid="{00000000-0005-0000-0000-000003000000}"/>
    <cellStyle name="Normal_DID-list Jan-2007" xfId="1" xr:uid="{00000000-0005-0000-0000-000004000000}"/>
    <cellStyle name="Normal_Kemi udenfor DID-listen" xfId="6" xr:uid="{00000000-0005-0000-0000-000005000000}"/>
    <cellStyle name="Per cent" xfId="8" builtinId="5"/>
    <cellStyle name="Standard 2" xfId="4" xr:uid="{00000000-0005-0000-0000-000008000000}"/>
  </cellStyles>
  <dxfs count="237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buttner/AppData/Local/Temp/Temp1_2012-720-EU_Antragsunterlagen.zip/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../../../../../../../../../../../../../../../../../buttner/AppData/Local/Microsoft/RGO.ECOLABEL/AppData/Roaming/Microsoft/Excel/Arbejdsmappe%20DID-listen/DID_revision_input_DID1169.xlsx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N85"/>
  <sheetViews>
    <sheetView tabSelected="1" zoomScaleNormal="100" workbookViewId="0">
      <selection activeCell="C13" sqref="C13:E13"/>
    </sheetView>
  </sheetViews>
  <sheetFormatPr baseColWidth="10" defaultColWidth="11.5" defaultRowHeight="13" x14ac:dyDescent="0.15"/>
  <cols>
    <col min="1" max="1" width="5.5" style="9" customWidth="1"/>
    <col min="2" max="2" width="33.5" style="9" customWidth="1"/>
    <col min="3" max="5" width="29.6640625" style="9" customWidth="1"/>
    <col min="6" max="6" width="22.5" style="9" bestFit="1" customWidth="1"/>
    <col min="7" max="7" width="21.83203125" style="9" customWidth="1"/>
    <col min="8" max="8" width="15.6640625" style="9" bestFit="1" customWidth="1"/>
    <col min="9" max="9" width="47.5" style="9" customWidth="1"/>
    <col min="10" max="11" width="11.5" style="9"/>
    <col min="12" max="12" width="11.5" style="140" hidden="1" customWidth="1"/>
    <col min="13" max="13" width="11.5" style="9"/>
  </cols>
  <sheetData>
    <row r="1" spans="1:14" ht="21" customHeight="1" x14ac:dyDescent="0.2">
      <c r="A1" s="16"/>
      <c r="B1" s="235" t="str">
        <f>IF($C$2=Languages!A3,Languages!A31,Languages!B31)</f>
        <v xml:space="preserve">(please fill-in all red coloured fields) </v>
      </c>
      <c r="C1" s="236"/>
      <c r="D1" s="16"/>
      <c r="E1" s="18"/>
      <c r="F1" s="18"/>
      <c r="G1" s="665" t="str">
        <f>IF($C$2=Languages!A3,Languages!A235,Languages!B235)</f>
        <v>COMMISSION DECISION</v>
      </c>
      <c r="H1" s="666"/>
      <c r="I1" s="497"/>
      <c r="J1" s="18"/>
      <c r="K1" s="18"/>
      <c r="L1" s="98"/>
      <c r="M1" s="18"/>
      <c r="N1" s="18"/>
    </row>
    <row r="2" spans="1:14" ht="16" x14ac:dyDescent="0.2">
      <c r="A2" s="672" t="s">
        <v>150</v>
      </c>
      <c r="B2" s="673"/>
      <c r="C2" s="238" t="s">
        <v>149</v>
      </c>
      <c r="D2" s="16"/>
      <c r="E2" s="20"/>
      <c r="F2" s="20"/>
      <c r="G2" s="108"/>
      <c r="H2" s="18"/>
      <c r="I2" s="295" t="str">
        <f>Document!B5</f>
        <v>Template March 2020</v>
      </c>
      <c r="J2" s="18"/>
      <c r="K2" s="18"/>
      <c r="L2" s="98"/>
      <c r="M2" s="18"/>
      <c r="N2" s="18"/>
    </row>
    <row r="3" spans="1:14" ht="8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8"/>
      <c r="L3" s="98"/>
      <c r="M3" s="18"/>
      <c r="N3" s="18"/>
    </row>
    <row r="4" spans="1:14" ht="16" x14ac:dyDescent="0.2">
      <c r="A4" s="670" t="str">
        <f>IF($C$2=Languages!A3,Languages!A6,Languages!B6)</f>
        <v>Contract number:</v>
      </c>
      <c r="B4" s="671"/>
      <c r="C4" s="674"/>
      <c r="D4" s="675"/>
      <c r="E4" s="676"/>
      <c r="F4" s="256"/>
      <c r="G4" s="20"/>
      <c r="H4" s="254" t="str">
        <f>IF($C$2=Languages!A3,Languages!A8,Languages!B8)</f>
        <v>Date:</v>
      </c>
      <c r="I4" s="289"/>
      <c r="J4" s="18"/>
      <c r="K4" s="18"/>
      <c r="L4" s="98"/>
      <c r="M4" s="18"/>
      <c r="N4" s="18"/>
    </row>
    <row r="5" spans="1:14" ht="16" x14ac:dyDescent="0.2">
      <c r="A5" s="670" t="str">
        <f>IF($C$2=Languages!A3,Languages!A4,Languages!B4)</f>
        <v>Licence Holder:</v>
      </c>
      <c r="B5" s="671"/>
      <c r="C5" s="667"/>
      <c r="D5" s="668"/>
      <c r="E5" s="669"/>
      <c r="F5" s="288" t="str">
        <f>IF($C$2=Languages!A3,Languages!A327,Languages!B327)</f>
        <v>Packaging size 1 to 8</v>
      </c>
      <c r="G5" s="20"/>
      <c r="H5" s="254" t="str">
        <f>IF($C$2=Languages!A3,Languages!A9,Languages!B9)</f>
        <v>Version:</v>
      </c>
      <c r="I5" s="290"/>
      <c r="J5" s="18"/>
      <c r="K5" s="18"/>
      <c r="L5" s="98"/>
      <c r="M5" s="18"/>
      <c r="N5" s="18"/>
    </row>
    <row r="6" spans="1:14" ht="16" x14ac:dyDescent="0.2">
      <c r="A6" s="670" t="str">
        <f>IF($C$2=Languages!A3,Languages!A5,Languages!B5)</f>
        <v>Distributor / Product name (Country):</v>
      </c>
      <c r="B6" s="671"/>
      <c r="C6" s="667"/>
      <c r="D6" s="668"/>
      <c r="E6" s="669"/>
      <c r="F6" s="285"/>
      <c r="G6" s="20"/>
      <c r="H6" s="18"/>
      <c r="I6" s="18"/>
      <c r="J6" s="18"/>
      <c r="K6" s="18"/>
      <c r="L6" s="98"/>
      <c r="M6" s="18"/>
      <c r="N6" s="18"/>
    </row>
    <row r="7" spans="1:14" ht="16" x14ac:dyDescent="0.2">
      <c r="A7" s="670" t="str">
        <f>A6</f>
        <v>Distributor / Product name (Country):</v>
      </c>
      <c r="B7" s="671"/>
      <c r="C7" s="667"/>
      <c r="D7" s="668"/>
      <c r="E7" s="669"/>
      <c r="F7" s="285"/>
      <c r="G7" s="20"/>
      <c r="H7" s="18"/>
      <c r="I7" s="18"/>
      <c r="J7" s="18"/>
      <c r="K7" s="18"/>
      <c r="L7" s="98"/>
      <c r="M7" s="18"/>
      <c r="N7" s="18"/>
    </row>
    <row r="8" spans="1:14" ht="16" x14ac:dyDescent="0.2">
      <c r="A8" s="670" t="str">
        <f t="shared" ref="A8:A20" si="0">A7</f>
        <v>Distributor / Product name (Country):</v>
      </c>
      <c r="B8" s="671"/>
      <c r="C8" s="667"/>
      <c r="D8" s="668"/>
      <c r="E8" s="669"/>
      <c r="F8" s="285"/>
      <c r="G8" s="20"/>
      <c r="H8" s="18"/>
      <c r="I8" s="18"/>
      <c r="J8" s="18"/>
      <c r="K8" s="18"/>
      <c r="L8" s="98"/>
      <c r="M8" s="18"/>
      <c r="N8" s="18"/>
    </row>
    <row r="9" spans="1:14" ht="16" x14ac:dyDescent="0.2">
      <c r="A9" s="670" t="str">
        <f t="shared" si="0"/>
        <v>Distributor / Product name (Country):</v>
      </c>
      <c r="B9" s="671"/>
      <c r="C9" s="667"/>
      <c r="D9" s="668"/>
      <c r="E9" s="669"/>
      <c r="F9" s="285"/>
      <c r="G9" s="20"/>
      <c r="H9" s="18"/>
      <c r="I9" s="18"/>
      <c r="J9" s="18"/>
      <c r="K9" s="18"/>
      <c r="L9" s="98"/>
      <c r="M9" s="18"/>
      <c r="N9" s="18"/>
    </row>
    <row r="10" spans="1:14" ht="16" x14ac:dyDescent="0.2">
      <c r="A10" s="670" t="str">
        <f t="shared" si="0"/>
        <v>Distributor / Product name (Country):</v>
      </c>
      <c r="B10" s="671"/>
      <c r="C10" s="667"/>
      <c r="D10" s="668"/>
      <c r="E10" s="669"/>
      <c r="F10" s="285"/>
      <c r="G10" s="20"/>
      <c r="H10" s="18"/>
      <c r="I10" s="18"/>
      <c r="J10" s="18"/>
      <c r="K10" s="18"/>
      <c r="L10" s="98"/>
      <c r="M10" s="18"/>
      <c r="N10" s="18"/>
    </row>
    <row r="11" spans="1:14" ht="16" x14ac:dyDescent="0.2">
      <c r="A11" s="670" t="str">
        <f t="shared" si="0"/>
        <v>Distributor / Product name (Country):</v>
      </c>
      <c r="B11" s="671"/>
      <c r="C11" s="667"/>
      <c r="D11" s="668"/>
      <c r="E11" s="669"/>
      <c r="F11" s="285"/>
      <c r="G11" s="20"/>
      <c r="H11" s="18"/>
      <c r="I11" s="18"/>
      <c r="J11" s="18"/>
      <c r="K11" s="18"/>
      <c r="L11" s="98"/>
      <c r="M11" s="18"/>
      <c r="N11" s="18"/>
    </row>
    <row r="12" spans="1:14" ht="16" x14ac:dyDescent="0.2">
      <c r="A12" s="670" t="str">
        <f t="shared" si="0"/>
        <v>Distributor / Product name (Country):</v>
      </c>
      <c r="B12" s="671"/>
      <c r="C12" s="667"/>
      <c r="D12" s="668"/>
      <c r="E12" s="669"/>
      <c r="F12" s="285"/>
      <c r="G12" s="20"/>
      <c r="H12" s="18"/>
      <c r="I12" s="18"/>
      <c r="J12" s="18"/>
      <c r="K12" s="18"/>
      <c r="L12" s="98"/>
      <c r="M12" s="18"/>
      <c r="N12" s="18"/>
    </row>
    <row r="13" spans="1:14" ht="16" x14ac:dyDescent="0.2">
      <c r="A13" s="670" t="str">
        <f t="shared" si="0"/>
        <v>Distributor / Product name (Country):</v>
      </c>
      <c r="B13" s="671"/>
      <c r="C13" s="667"/>
      <c r="D13" s="668"/>
      <c r="E13" s="669"/>
      <c r="F13" s="285"/>
      <c r="G13" s="20"/>
      <c r="H13" s="18"/>
      <c r="I13" s="18"/>
      <c r="J13" s="18"/>
      <c r="K13" s="18"/>
      <c r="L13" s="251">
        <v>300</v>
      </c>
      <c r="M13" s="18"/>
      <c r="N13" s="18"/>
    </row>
    <row r="14" spans="1:14" ht="16" x14ac:dyDescent="0.2">
      <c r="A14" s="670" t="str">
        <f t="shared" si="0"/>
        <v>Distributor / Product name (Country):</v>
      </c>
      <c r="B14" s="671"/>
      <c r="C14" s="667"/>
      <c r="D14" s="668"/>
      <c r="E14" s="669"/>
      <c r="F14" s="285"/>
      <c r="G14" s="20"/>
      <c r="H14" s="18"/>
      <c r="I14" s="18"/>
      <c r="J14" s="18"/>
      <c r="K14" s="18"/>
      <c r="L14" s="251">
        <v>301</v>
      </c>
      <c r="M14" s="18"/>
      <c r="N14" s="18"/>
    </row>
    <row r="15" spans="1:14" ht="16" x14ac:dyDescent="0.2">
      <c r="A15" s="670" t="str">
        <f t="shared" si="0"/>
        <v>Distributor / Product name (Country):</v>
      </c>
      <c r="B15" s="671"/>
      <c r="C15" s="667"/>
      <c r="D15" s="668"/>
      <c r="E15" s="669"/>
      <c r="F15" s="285"/>
      <c r="G15" s="20"/>
      <c r="H15" s="18"/>
      <c r="I15" s="18"/>
      <c r="J15" s="18"/>
      <c r="K15" s="18"/>
      <c r="L15" s="251">
        <v>304</v>
      </c>
      <c r="M15" s="18"/>
      <c r="N15" s="18"/>
    </row>
    <row r="16" spans="1:14" ht="16" x14ac:dyDescent="0.2">
      <c r="A16" s="670" t="str">
        <f t="shared" si="0"/>
        <v>Distributor / Product name (Country):</v>
      </c>
      <c r="B16" s="671"/>
      <c r="C16" s="667"/>
      <c r="D16" s="668"/>
      <c r="E16" s="669"/>
      <c r="F16" s="285"/>
      <c r="G16" s="20"/>
      <c r="H16" s="18"/>
      <c r="I16" s="18"/>
      <c r="J16" s="18"/>
      <c r="K16" s="18"/>
      <c r="L16" s="251">
        <v>310</v>
      </c>
      <c r="M16" s="18"/>
      <c r="N16" s="18"/>
    </row>
    <row r="17" spans="1:14" ht="16" x14ac:dyDescent="0.2">
      <c r="A17" s="670" t="str">
        <f t="shared" si="0"/>
        <v>Distributor / Product name (Country):</v>
      </c>
      <c r="B17" s="671"/>
      <c r="C17" s="667"/>
      <c r="D17" s="668"/>
      <c r="E17" s="669"/>
      <c r="F17" s="285"/>
      <c r="G17" s="20"/>
      <c r="H17" s="18"/>
      <c r="I17" s="18"/>
      <c r="J17" s="18"/>
      <c r="K17" s="18"/>
      <c r="L17" s="251">
        <v>311</v>
      </c>
      <c r="M17" s="18"/>
      <c r="N17" s="18"/>
    </row>
    <row r="18" spans="1:14" ht="16" x14ac:dyDescent="0.2">
      <c r="A18" s="670" t="str">
        <f t="shared" si="0"/>
        <v>Distributor / Product name (Country):</v>
      </c>
      <c r="B18" s="671"/>
      <c r="C18" s="667"/>
      <c r="D18" s="668"/>
      <c r="E18" s="669"/>
      <c r="F18" s="285"/>
      <c r="G18" s="20"/>
      <c r="H18" s="18"/>
      <c r="I18" s="18"/>
      <c r="J18" s="18"/>
      <c r="K18" s="18"/>
      <c r="L18" s="251">
        <v>317</v>
      </c>
      <c r="M18" s="18"/>
      <c r="N18" s="18"/>
    </row>
    <row r="19" spans="1:14" ht="16" x14ac:dyDescent="0.2">
      <c r="A19" s="670" t="str">
        <f t="shared" si="0"/>
        <v>Distributor / Product name (Country):</v>
      </c>
      <c r="B19" s="671"/>
      <c r="C19" s="667"/>
      <c r="D19" s="668"/>
      <c r="E19" s="669"/>
      <c r="F19" s="285"/>
      <c r="G19" s="20"/>
      <c r="H19" s="18"/>
      <c r="I19" s="18"/>
      <c r="J19" s="18"/>
      <c r="K19" s="18"/>
      <c r="L19" s="251">
        <v>330</v>
      </c>
      <c r="M19" s="18"/>
      <c r="N19" s="18"/>
    </row>
    <row r="20" spans="1:14" ht="16" x14ac:dyDescent="0.2">
      <c r="A20" s="670" t="str">
        <f t="shared" si="0"/>
        <v>Distributor / Product name (Country):</v>
      </c>
      <c r="B20" s="671"/>
      <c r="C20" s="667"/>
      <c r="D20" s="668"/>
      <c r="E20" s="669"/>
      <c r="F20" s="285"/>
      <c r="G20" s="20"/>
      <c r="H20" s="18"/>
      <c r="I20" s="18"/>
      <c r="J20" s="18"/>
      <c r="K20" s="18"/>
      <c r="L20" s="251">
        <v>331</v>
      </c>
      <c r="M20" s="18"/>
      <c r="N20" s="18"/>
    </row>
    <row r="21" spans="1:14" ht="16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8"/>
      <c r="L21" s="251">
        <v>334</v>
      </c>
      <c r="M21" s="18"/>
      <c r="N21" s="18"/>
    </row>
    <row r="22" spans="1:14" ht="16" x14ac:dyDescent="0.2">
      <c r="A22" s="670" t="str">
        <f>IF($C$2=Languages!A3,Languages!A7,Languages!B7)</f>
        <v>Type of product:</v>
      </c>
      <c r="B22" s="671"/>
      <c r="C22" s="667"/>
      <c r="D22" s="668"/>
      <c r="E22" s="669"/>
      <c r="F22" s="16"/>
      <c r="G22" s="19"/>
      <c r="H22" s="16"/>
      <c r="I22" s="18"/>
      <c r="J22" s="18"/>
      <c r="K22" s="18"/>
      <c r="L22" s="251">
        <v>340</v>
      </c>
      <c r="M22" s="18"/>
      <c r="N22" s="18"/>
    </row>
    <row r="23" spans="1:14" ht="30.75" customHeight="1" x14ac:dyDescent="0.2">
      <c r="A23" s="659" t="str">
        <f>IF($C$2=Languages!A3,Languages!A282,Languages!B282)</f>
        <v>Please specify function if part of a Multi-component system:</v>
      </c>
      <c r="B23" s="660"/>
      <c r="C23" s="678"/>
      <c r="D23" s="678"/>
      <c r="E23" s="678"/>
      <c r="F23" s="16"/>
      <c r="G23" s="19"/>
      <c r="H23" s="16"/>
      <c r="I23" s="18"/>
      <c r="J23" s="18"/>
      <c r="K23" s="18"/>
      <c r="L23" s="251">
        <v>350</v>
      </c>
      <c r="M23" s="18"/>
      <c r="N23" s="18"/>
    </row>
    <row r="24" spans="1:14" ht="16" x14ac:dyDescent="0.2">
      <c r="A24" s="670" t="str">
        <f>IF($C$2=Languages!A3,Languages!A177,Languages!B177)</f>
        <v>Form of product:</v>
      </c>
      <c r="B24" s="671"/>
      <c r="C24" s="287"/>
      <c r="D24" s="104"/>
      <c r="E24" s="104"/>
      <c r="F24" s="16"/>
      <c r="G24" s="19"/>
      <c r="H24" s="16"/>
      <c r="I24" s="19"/>
      <c r="J24" s="18"/>
      <c r="K24" s="18"/>
      <c r="L24" s="251">
        <v>351</v>
      </c>
      <c r="M24" s="18"/>
      <c r="N24" s="18"/>
    </row>
    <row r="25" spans="1:14" ht="24" x14ac:dyDescent="0.2">
      <c r="A25" s="679" t="str">
        <f>IF($C$2=Languages!A3,Languages!A21,Languages!B21)</f>
        <v>Hazard Statement (1)</v>
      </c>
      <c r="B25" s="680"/>
      <c r="C25" s="283"/>
      <c r="D25" s="286" t="str">
        <f>'Ingoing Substances'!J11</f>
        <v>In case H/EUH-statement with possible restrictions are detected, font changed to red</v>
      </c>
      <c r="E25" s="286"/>
      <c r="F25" s="16"/>
      <c r="G25" s="253"/>
      <c r="H25" s="253"/>
      <c r="I25" s="18"/>
      <c r="J25" s="18"/>
      <c r="K25" s="18"/>
      <c r="L25" s="251">
        <v>360</v>
      </c>
      <c r="M25" s="18"/>
      <c r="N25" s="18"/>
    </row>
    <row r="26" spans="1:14" ht="16" x14ac:dyDescent="0.2">
      <c r="A26" s="670" t="str">
        <f>IF($C$2=Languages!A3,Languages!A180,Languages!B180)</f>
        <v>spec. grav. concentrate (if liquid/gel):</v>
      </c>
      <c r="B26" s="671"/>
      <c r="C26" s="283"/>
      <c r="D26" s="104"/>
      <c r="E26" s="104"/>
      <c r="F26" s="16"/>
      <c r="G26" s="231"/>
      <c r="H26" s="16"/>
      <c r="I26" s="16"/>
      <c r="J26" s="18"/>
      <c r="K26" s="18"/>
      <c r="L26" s="251">
        <v>361</v>
      </c>
      <c r="M26" s="18"/>
      <c r="N26" s="18"/>
    </row>
    <row r="27" spans="1:14" ht="16" x14ac:dyDescent="0.2">
      <c r="A27" s="670" t="str">
        <f>IF($C$2=Languages!A3,Languages!A284,Languages!B284)</f>
        <v>pH (concentrate)</v>
      </c>
      <c r="B27" s="671"/>
      <c r="C27" s="283"/>
      <c r="D27" s="104"/>
      <c r="E27" s="104"/>
      <c r="F27" s="16"/>
      <c r="G27" s="231"/>
      <c r="H27" s="16"/>
      <c r="I27" s="16"/>
      <c r="J27" s="18"/>
      <c r="K27" s="18"/>
      <c r="L27" s="251">
        <v>362</v>
      </c>
      <c r="M27" s="18"/>
      <c r="N27" s="18"/>
    </row>
    <row r="28" spans="1:14" ht="16" x14ac:dyDescent="0.2">
      <c r="A28" s="670" t="str">
        <f>IF($C$2=Languages!A3,Languages!A297,Languages!B297)</f>
        <v>Contains preservatives</v>
      </c>
      <c r="B28" s="671"/>
      <c r="C28" s="283"/>
      <c r="D28" s="104"/>
      <c r="E28" s="104"/>
      <c r="F28" s="16"/>
      <c r="G28" s="231"/>
      <c r="H28" s="16"/>
      <c r="I28" s="16"/>
      <c r="J28" s="16"/>
      <c r="K28" s="18"/>
      <c r="L28" s="251">
        <v>372</v>
      </c>
      <c r="M28" s="18"/>
      <c r="N28" s="18"/>
    </row>
    <row r="29" spans="1:14" ht="16" x14ac:dyDescent="0.2">
      <c r="A29" s="670" t="str">
        <f>IF($C$2=Languages!A3,Languages!A298,Languages!B298)</f>
        <v>Contains fragrances</v>
      </c>
      <c r="B29" s="671"/>
      <c r="C29" s="283"/>
      <c r="D29" s="104"/>
      <c r="E29" s="104"/>
      <c r="F29" s="16"/>
      <c r="G29" s="231"/>
      <c r="H29" s="16"/>
      <c r="I29" s="16"/>
      <c r="J29" s="16"/>
      <c r="K29" s="18"/>
      <c r="L29" s="251">
        <v>373</v>
      </c>
      <c r="M29" s="18"/>
      <c r="N29" s="18"/>
    </row>
    <row r="30" spans="1:14" ht="16" x14ac:dyDescent="0.2">
      <c r="A30" s="670" t="str">
        <f>IF($C$2=Languages!A3,Languages!A299,Languages!B299)</f>
        <v>Contains colouring agents</v>
      </c>
      <c r="B30" s="671"/>
      <c r="C30" s="283"/>
      <c r="D30" s="104"/>
      <c r="E30" s="104"/>
      <c r="F30" s="16"/>
      <c r="G30" s="231"/>
      <c r="H30" s="16"/>
      <c r="I30" s="16"/>
      <c r="J30" s="16"/>
      <c r="K30" s="18"/>
      <c r="L30" s="251">
        <v>400</v>
      </c>
      <c r="M30" s="18"/>
      <c r="N30" s="18"/>
    </row>
    <row r="31" spans="1:14" ht="16" x14ac:dyDescent="0.2">
      <c r="A31" s="670" t="str">
        <f>IF($C$2=Languages!A3,Languages!A301,Languages!B301)</f>
        <v>Contains enzymes</v>
      </c>
      <c r="B31" s="671"/>
      <c r="C31" s="283"/>
      <c r="D31" s="104"/>
      <c r="E31" s="104"/>
      <c r="F31" s="16"/>
      <c r="G31" s="231"/>
      <c r="H31" s="16"/>
      <c r="I31" s="16"/>
      <c r="J31" s="16"/>
      <c r="K31" s="18"/>
      <c r="L31" s="251">
        <v>411</v>
      </c>
      <c r="M31" s="18"/>
      <c r="N31" s="18"/>
    </row>
    <row r="32" spans="1:14" ht="25.5" customHeight="1" x14ac:dyDescent="0.2">
      <c r="A32" s="659" t="str">
        <f>IF($C$2=Languages!A3,Languages!A302,Languages!B302)</f>
        <v>Contains palm/palm kernel oil or derivates</v>
      </c>
      <c r="B32" s="660"/>
      <c r="C32" s="283"/>
      <c r="D32" s="104"/>
      <c r="E32" s="104"/>
      <c r="F32" s="16"/>
      <c r="G32" s="231"/>
      <c r="H32" s="16"/>
      <c r="I32" s="16"/>
      <c r="J32" s="16"/>
      <c r="K32" s="18"/>
      <c r="L32" s="251">
        <v>412</v>
      </c>
      <c r="M32" s="18"/>
      <c r="N32" s="18"/>
    </row>
    <row r="33" spans="1:14" ht="16" x14ac:dyDescent="0.2">
      <c r="A33" s="659" t="str">
        <f>IF($C$2=Languages!A3,Languages!A295,Languages!B295)</f>
        <v>Unit reference dosage (Select)</v>
      </c>
      <c r="B33" s="660"/>
      <c r="C33" s="284"/>
      <c r="D33" s="104"/>
      <c r="E33" s="104"/>
      <c r="F33" s="16"/>
      <c r="G33" s="16"/>
      <c r="H33" s="16"/>
      <c r="I33" s="16"/>
      <c r="J33" s="16"/>
      <c r="K33" s="18"/>
      <c r="L33" s="252" t="s">
        <v>635</v>
      </c>
      <c r="M33" s="18"/>
      <c r="N33" s="18"/>
    </row>
    <row r="34" spans="1:14" ht="30.75" customHeight="1" x14ac:dyDescent="0.2">
      <c r="A34" s="661"/>
      <c r="B34" s="662"/>
      <c r="C34" s="470" t="str">
        <f>IF(Product!$C$2=Languages!A3,Languages!A210,Languages!B210)</f>
        <v>for soft water (&lt;1,5 mmol CaCO3/l)</v>
      </c>
      <c r="D34" s="470" t="str">
        <f>IF(Product!$C$2=Languages!A3,Languages!A211,Languages!B211)</f>
        <v>for medium water (1,5 – 2,5 mmol CaCO3/l)</v>
      </c>
      <c r="E34" s="476" t="str">
        <f>IF(Product!$C$2=Languages!A3,Languages!A212,Languages!B212)</f>
        <v>for hard water (&gt;2,5 mmol CaCO3/l)</v>
      </c>
      <c r="F34" s="16"/>
      <c r="G34" s="231"/>
      <c r="H34" s="16"/>
      <c r="I34" s="16"/>
      <c r="J34" s="16"/>
      <c r="K34" s="18"/>
      <c r="L34" s="251"/>
      <c r="M34" s="18"/>
      <c r="N34" s="18"/>
    </row>
    <row r="35" spans="1:14" ht="30.75" customHeight="1" x14ac:dyDescent="0.2">
      <c r="A35" s="663" t="str">
        <f>IF($C$2=Languages!A3,Languages!A317,Languages!B317)</f>
        <v>reference dosage for I&amp;I DD/
I&amp;I LD (medium soiling):</v>
      </c>
      <c r="B35" s="664"/>
      <c r="C35" s="283"/>
      <c r="D35" s="283"/>
      <c r="E35" s="283"/>
      <c r="F35" s="16"/>
      <c r="G35" s="141"/>
      <c r="H35" s="16"/>
      <c r="I35" s="16"/>
      <c r="J35" s="16"/>
      <c r="K35" s="18"/>
      <c r="L35" s="251">
        <v>413</v>
      </c>
      <c r="M35" s="18"/>
      <c r="N35" s="18"/>
    </row>
    <row r="36" spans="1:14" ht="27" customHeight="1" x14ac:dyDescent="0.2">
      <c r="A36" s="659" t="str">
        <f>IF($C$2=Languages!A3,Languages!A294,Languages!B294)</f>
        <v>Reference Dosage
(in g/unit as in decision)</v>
      </c>
      <c r="B36" s="660"/>
      <c r="C36" s="477" t="str">
        <f>IF(C35="","",IF(NOT(ISERROR(SEARCH("ml",C33,1))),C35*$C$26,C35))</f>
        <v/>
      </c>
      <c r="D36" s="477" t="str">
        <f>IF(D35="","",IF(NOT(ISERROR(SEARCH("ml",C33,1))),D35*C26,D35))</f>
        <v/>
      </c>
      <c r="E36" s="477" t="str">
        <f>IF(E35="","",IF(NOT(ISERROR(SEARCH("ml",C33,1))),E35*C26,E35))</f>
        <v/>
      </c>
      <c r="F36" s="16"/>
      <c r="G36" s="16"/>
      <c r="H36" s="16"/>
      <c r="I36" s="16"/>
      <c r="J36" s="16"/>
      <c r="K36" s="18"/>
      <c r="L36" s="252"/>
      <c r="M36" s="18"/>
      <c r="N36" s="18"/>
    </row>
    <row r="37" spans="1:14" ht="30.75" customHeight="1" x14ac:dyDescent="0.2">
      <c r="A37" s="663" t="str">
        <f>IF($C$2=Languages!A3,Languages!A318,Languages!B318)</f>
        <v>reference dosage for I&amp;I LD
(light soiling):</v>
      </c>
      <c r="B37" s="664"/>
      <c r="C37" s="283"/>
      <c r="D37" s="283"/>
      <c r="E37" s="283"/>
      <c r="F37" s="16"/>
      <c r="G37" s="141"/>
      <c r="H37" s="16"/>
      <c r="I37" s="16"/>
      <c r="J37" s="16"/>
      <c r="K37" s="18"/>
      <c r="L37" s="251">
        <v>413</v>
      </c>
      <c r="M37" s="18"/>
      <c r="N37" s="18"/>
    </row>
    <row r="38" spans="1:14" ht="27" customHeight="1" x14ac:dyDescent="0.2">
      <c r="A38" s="659" t="str">
        <f>A36</f>
        <v>Reference Dosage
(in g/unit as in decision)</v>
      </c>
      <c r="B38" s="660"/>
      <c r="C38" s="477" t="str">
        <f>IF(C37="","",IF(NOT(ISERROR(SEARCH("ml",C33,1))),C37*$C$26,C37))</f>
        <v/>
      </c>
      <c r="D38" s="477" t="str">
        <f>IF(D37="","",IF(NOT(ISERROR(SEARCH("ml",C33,1))),D37*$C$26,D37))</f>
        <v/>
      </c>
      <c r="E38" s="477" t="str">
        <f>IF(E37="","",IF(NOT(ISERROR(SEARCH("ml",C33,1))),E37*$C$26,E37))</f>
        <v/>
      </c>
      <c r="F38" s="16"/>
      <c r="G38" s="16"/>
      <c r="H38" s="16"/>
      <c r="I38" s="16"/>
      <c r="J38" s="16"/>
      <c r="K38" s="18"/>
      <c r="L38" s="252"/>
      <c r="M38" s="18"/>
      <c r="N38" s="18"/>
    </row>
    <row r="39" spans="1:14" ht="30.75" customHeight="1" x14ac:dyDescent="0.2">
      <c r="A39" s="663" t="str">
        <f>IF($C$2=Languages!A3,Languages!A319,Languages!B319)</f>
        <v>reference dosage for I&amp;I LD
(heavy soiling):</v>
      </c>
      <c r="B39" s="664"/>
      <c r="C39" s="283"/>
      <c r="D39" s="283"/>
      <c r="E39" s="283"/>
      <c r="F39" s="16"/>
      <c r="G39" s="141"/>
      <c r="H39" s="16"/>
      <c r="I39" s="16"/>
      <c r="J39" s="16"/>
      <c r="K39" s="18"/>
      <c r="L39" s="251">
        <v>413</v>
      </c>
      <c r="M39" s="18"/>
      <c r="N39" s="18"/>
    </row>
    <row r="40" spans="1:14" ht="27" customHeight="1" x14ac:dyDescent="0.2">
      <c r="A40" s="659" t="str">
        <f>A36</f>
        <v>Reference Dosage
(in g/unit as in decision)</v>
      </c>
      <c r="B40" s="660"/>
      <c r="C40" s="477" t="str">
        <f>IF(C39="","",IF(NOT(ISERROR(SEARCH("ml",C33,1))),C39*$C$26,C39))</f>
        <v/>
      </c>
      <c r="D40" s="477" t="str">
        <f>IF(D39="","",IF(NOT(ISERROR(SEARCH("ml",C33,1))),D39*$C$26,D39))</f>
        <v/>
      </c>
      <c r="E40" s="477" t="str">
        <f>IF(E39="","",IF(NOT(ISERROR(SEARCH("ml",C33,1))),E39*$C$26,E39))</f>
        <v/>
      </c>
      <c r="F40" s="16"/>
      <c r="G40" s="16"/>
      <c r="H40" s="16"/>
      <c r="I40" s="16"/>
      <c r="J40" s="16"/>
      <c r="K40" s="18"/>
      <c r="L40" s="252"/>
      <c r="M40" s="18"/>
      <c r="N40" s="18"/>
    </row>
    <row r="41" spans="1:14" ht="16" x14ac:dyDescent="0.2">
      <c r="A41" s="16"/>
      <c r="B41" s="16"/>
      <c r="C41" s="56"/>
      <c r="D41" s="16"/>
      <c r="E41" s="16"/>
      <c r="F41" s="16"/>
      <c r="G41" s="16"/>
      <c r="H41" s="16"/>
      <c r="I41" s="16"/>
      <c r="J41" s="16"/>
      <c r="K41" s="18"/>
      <c r="M41" s="18"/>
      <c r="N41" s="18"/>
    </row>
    <row r="42" spans="1:14" ht="25.5" customHeight="1" x14ac:dyDescent="0.2">
      <c r="A42" s="16"/>
      <c r="B42" s="677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677"/>
      <c r="D42" s="677"/>
      <c r="E42" s="677"/>
      <c r="F42" s="16"/>
      <c r="G42" s="250"/>
      <c r="H42" s="250"/>
      <c r="I42" s="250"/>
      <c r="J42" s="16"/>
      <c r="K42" s="18"/>
      <c r="L42" s="251"/>
      <c r="M42" s="18"/>
      <c r="N42" s="18"/>
    </row>
    <row r="43" spans="1:14" ht="16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8"/>
      <c r="L43" s="251"/>
      <c r="M43" s="18"/>
      <c r="N43" s="18"/>
    </row>
    <row r="44" spans="1:14" ht="16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8"/>
      <c r="L44" s="98"/>
      <c r="M44" s="18"/>
      <c r="N44" s="18"/>
    </row>
    <row r="45" spans="1:14" ht="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8"/>
      <c r="L45" s="98"/>
      <c r="M45" s="18"/>
      <c r="N45" s="18"/>
    </row>
    <row r="46" spans="1:14" ht="16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8"/>
      <c r="L46" s="98"/>
      <c r="M46" s="18"/>
      <c r="N46" s="18"/>
    </row>
    <row r="47" spans="1:14" ht="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8"/>
      <c r="L47" s="98"/>
      <c r="M47" s="18"/>
      <c r="N47" s="18"/>
    </row>
    <row r="48" spans="1:14" ht="16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8"/>
      <c r="L48" s="98"/>
      <c r="M48" s="18"/>
      <c r="N48" s="18"/>
    </row>
    <row r="49" spans="1:14" ht="16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8"/>
      <c r="L49" s="98"/>
      <c r="M49" s="18"/>
      <c r="N49" s="18"/>
    </row>
    <row r="50" spans="1:14" ht="16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8"/>
      <c r="L50" s="98"/>
      <c r="M50" s="18"/>
      <c r="N50" s="18"/>
    </row>
    <row r="51" spans="1:14" ht="16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8"/>
      <c r="L51" s="98"/>
      <c r="M51" s="18"/>
      <c r="N51" s="18"/>
    </row>
    <row r="52" spans="1:14" ht="16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8"/>
      <c r="L52" s="98"/>
      <c r="M52" s="18"/>
      <c r="N52" s="18"/>
    </row>
    <row r="53" spans="1:14" ht="16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98"/>
      <c r="M53" s="18"/>
      <c r="N53" s="18"/>
    </row>
    <row r="54" spans="1:14" ht="16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98"/>
      <c r="M54" s="18"/>
      <c r="N54" s="18"/>
    </row>
    <row r="55" spans="1:14" ht="16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98"/>
      <c r="M55" s="18"/>
      <c r="N55" s="18"/>
    </row>
    <row r="56" spans="1:14" ht="16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98"/>
      <c r="M56" s="18"/>
      <c r="N56" s="18"/>
    </row>
    <row r="57" spans="1:14" ht="16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98"/>
      <c r="M57" s="18"/>
      <c r="N57" s="18"/>
    </row>
    <row r="58" spans="1:14" ht="16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98"/>
      <c r="M58" s="18"/>
      <c r="N58" s="18"/>
    </row>
    <row r="59" spans="1:14" ht="16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98"/>
      <c r="M59" s="18"/>
      <c r="N59" s="18"/>
    </row>
    <row r="60" spans="1:14" ht="16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98"/>
      <c r="M60" s="18"/>
      <c r="N60" s="18"/>
    </row>
    <row r="61" spans="1:14" ht="16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98"/>
      <c r="M61" s="18"/>
      <c r="N61" s="18"/>
    </row>
    <row r="62" spans="1:14" ht="16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98"/>
      <c r="M62" s="18"/>
      <c r="N62" s="18"/>
    </row>
    <row r="63" spans="1:14" ht="16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98"/>
      <c r="M63" s="18"/>
      <c r="N63" s="18"/>
    </row>
    <row r="64" spans="1:14" ht="16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98"/>
      <c r="M64" s="18"/>
      <c r="N64" s="18"/>
    </row>
    <row r="65" spans="1:14" ht="16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98"/>
      <c r="M65" s="18"/>
      <c r="N65" s="18"/>
    </row>
    <row r="66" spans="1:14" ht="16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98"/>
      <c r="M66" s="18"/>
      <c r="N66" s="18"/>
    </row>
    <row r="67" spans="1:14" ht="16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98"/>
      <c r="M67" s="18"/>
      <c r="N67" s="18"/>
    </row>
    <row r="68" spans="1:14" ht="16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98"/>
      <c r="M68" s="18"/>
      <c r="N68" s="18"/>
    </row>
    <row r="69" spans="1:14" ht="16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98"/>
      <c r="M69" s="18"/>
      <c r="N69" s="18"/>
    </row>
    <row r="70" spans="1:14" ht="16" x14ac:dyDescent="0.2">
      <c r="J70" s="18"/>
      <c r="K70" s="18"/>
      <c r="L70" s="98"/>
      <c r="M70" s="18"/>
      <c r="N70" s="18"/>
    </row>
    <row r="71" spans="1:14" ht="16" x14ac:dyDescent="0.2">
      <c r="J71" s="18"/>
      <c r="K71" s="18"/>
      <c r="L71" s="98"/>
      <c r="M71" s="18"/>
      <c r="N71" s="18"/>
    </row>
    <row r="72" spans="1:14" ht="16" x14ac:dyDescent="0.2">
      <c r="J72" s="18"/>
      <c r="K72" s="18"/>
      <c r="L72" s="98"/>
      <c r="M72" s="18"/>
      <c r="N72" s="18"/>
    </row>
    <row r="73" spans="1:14" ht="16" x14ac:dyDescent="0.2">
      <c r="J73" s="18"/>
      <c r="K73" s="18"/>
      <c r="L73" s="98"/>
      <c r="M73" s="18"/>
      <c r="N73" s="18"/>
    </row>
    <row r="74" spans="1:14" ht="16" x14ac:dyDescent="0.2">
      <c r="J74" s="18"/>
      <c r="K74" s="18"/>
      <c r="L74" s="98"/>
      <c r="M74" s="18"/>
      <c r="N74" s="18"/>
    </row>
    <row r="75" spans="1:14" ht="16" x14ac:dyDescent="0.2">
      <c r="J75" s="18"/>
      <c r="K75" s="18"/>
      <c r="L75" s="98"/>
      <c r="M75" s="18"/>
      <c r="N75" s="18"/>
    </row>
    <row r="76" spans="1:14" ht="16" x14ac:dyDescent="0.2">
      <c r="J76" s="18"/>
      <c r="K76" s="18"/>
      <c r="L76" s="98"/>
      <c r="M76" s="18"/>
      <c r="N76" s="18"/>
    </row>
    <row r="77" spans="1:14" ht="16" x14ac:dyDescent="0.2">
      <c r="J77" s="18"/>
      <c r="K77" s="18"/>
      <c r="L77" s="98"/>
      <c r="M77" s="18"/>
      <c r="N77" s="18"/>
    </row>
    <row r="78" spans="1:14" ht="16" x14ac:dyDescent="0.2">
      <c r="J78" s="18"/>
      <c r="K78" s="18"/>
      <c r="L78" s="98"/>
      <c r="M78" s="18"/>
      <c r="N78" s="18"/>
    </row>
    <row r="79" spans="1:14" ht="16" x14ac:dyDescent="0.2">
      <c r="J79" s="18"/>
      <c r="K79" s="18"/>
      <c r="L79" s="98"/>
      <c r="M79" s="18"/>
      <c r="N79" s="18"/>
    </row>
    <row r="80" spans="1:14" ht="16" x14ac:dyDescent="0.2">
      <c r="J80" s="18"/>
      <c r="K80" s="18"/>
      <c r="M80" s="18"/>
      <c r="N80" s="18"/>
    </row>
    <row r="81" spans="10:14" ht="16" x14ac:dyDescent="0.2">
      <c r="J81" s="18"/>
      <c r="K81" s="18"/>
      <c r="M81" s="18"/>
      <c r="N81" s="18"/>
    </row>
    <row r="82" spans="10:14" ht="16" x14ac:dyDescent="0.2">
      <c r="J82" s="18"/>
      <c r="K82" s="18"/>
      <c r="M82" s="18"/>
      <c r="N82" s="18"/>
    </row>
    <row r="83" spans="10:14" ht="16" x14ac:dyDescent="0.2">
      <c r="J83" s="18"/>
      <c r="K83" s="18"/>
      <c r="M83" s="18"/>
      <c r="N83" s="18"/>
    </row>
    <row r="84" spans="10:14" ht="16" x14ac:dyDescent="0.2">
      <c r="J84" s="18"/>
      <c r="K84" s="18"/>
      <c r="M84" s="18"/>
      <c r="N84" s="18"/>
    </row>
    <row r="85" spans="10:14" ht="16" x14ac:dyDescent="0.2">
      <c r="J85" s="18"/>
      <c r="K85" s="18"/>
      <c r="M85" s="18"/>
      <c r="N85" s="18"/>
    </row>
  </sheetData>
  <sheetProtection algorithmName="SHA-512" hashValue="jb5nMIwaGC0NfFuolpuXM98RNEX6X8Ed18FwofasD1iLfdUcyVaOc57vDOhoUliWltaiPfeSK/JlO2JoFXjB2g==" saltValue="mQkASvfcWmhObma76STlfA==" spinCount="100000" sheet="1" objects="1" scenarios="1" formatCells="0" formatColumns="0" formatRows="0" selectLockedCells="1" autoFilter="0"/>
  <mergeCells count="58">
    <mergeCell ref="B42:E42"/>
    <mergeCell ref="A16:B16"/>
    <mergeCell ref="A17:B17"/>
    <mergeCell ref="A23:B23"/>
    <mergeCell ref="C23:E23"/>
    <mergeCell ref="A36:B36"/>
    <mergeCell ref="A18:B18"/>
    <mergeCell ref="A19:B19"/>
    <mergeCell ref="A20:B20"/>
    <mergeCell ref="A22:B22"/>
    <mergeCell ref="C22:E22"/>
    <mergeCell ref="C20:E20"/>
    <mergeCell ref="A24:B24"/>
    <mergeCell ref="A25:B25"/>
    <mergeCell ref="A30:B30"/>
    <mergeCell ref="A26:B26"/>
    <mergeCell ref="A11:B11"/>
    <mergeCell ref="A12:B12"/>
    <mergeCell ref="A13:B13"/>
    <mergeCell ref="A14:B14"/>
    <mergeCell ref="A15:B15"/>
    <mergeCell ref="A7:B7"/>
    <mergeCell ref="A8:B8"/>
    <mergeCell ref="C7:E7"/>
    <mergeCell ref="A9:B9"/>
    <mergeCell ref="A10:B10"/>
    <mergeCell ref="A2:B2"/>
    <mergeCell ref="A4:B4"/>
    <mergeCell ref="A5:B5"/>
    <mergeCell ref="A6:B6"/>
    <mergeCell ref="C4:E4"/>
    <mergeCell ref="C5:E5"/>
    <mergeCell ref="C6:E6"/>
    <mergeCell ref="A32:B32"/>
    <mergeCell ref="A28:B28"/>
    <mergeCell ref="A29:B29"/>
    <mergeCell ref="C13:E13"/>
    <mergeCell ref="C14:E14"/>
    <mergeCell ref="C15:E15"/>
    <mergeCell ref="C16:E16"/>
    <mergeCell ref="C17:E17"/>
    <mergeCell ref="C18:E18"/>
    <mergeCell ref="C19:E19"/>
    <mergeCell ref="A27:B27"/>
    <mergeCell ref="A31:B31"/>
    <mergeCell ref="G1:H1"/>
    <mergeCell ref="C9:E9"/>
    <mergeCell ref="C10:E10"/>
    <mergeCell ref="C11:E11"/>
    <mergeCell ref="C12:E12"/>
    <mergeCell ref="C8:E8"/>
    <mergeCell ref="A33:B33"/>
    <mergeCell ref="A40:B40"/>
    <mergeCell ref="A34:B34"/>
    <mergeCell ref="A35:B35"/>
    <mergeCell ref="A39:B39"/>
    <mergeCell ref="A38:B38"/>
    <mergeCell ref="A37:B37"/>
  </mergeCells>
  <phoneticPr fontId="4" type="noConversion"/>
  <conditionalFormatting sqref="C3:I3">
    <cfRule type="expression" dxfId="236" priority="4">
      <formula>$B3=""</formula>
    </cfRule>
  </conditionalFormatting>
  <conditionalFormatting sqref="C25">
    <cfRule type="expression" dxfId="235" priority="103">
      <formula>SUMPRODUCT(ISNUMBER(FIND($L$13:$L$33,C25))*1)&gt;0</formula>
    </cfRule>
  </conditionalFormatting>
  <dataValidations count="7">
    <dataValidation type="list" allowBlank="1" showInputMessage="1" showErrorMessage="1" sqref="C2:C3" xr:uid="{00000000-0002-0000-0000-000000000000}">
      <formula1>Sprache</formula1>
    </dataValidation>
    <dataValidation type="list" allowBlank="1" showInputMessage="1" showErrorMessage="1" sqref="C24" xr:uid="{00000000-0002-0000-0000-000001000000}">
      <formula1>Produktform</formula1>
    </dataValidation>
    <dataValidation type="list" allowBlank="1" showInputMessage="1" showErrorMessage="1" errorTitle="Please select" sqref="C22:E22" xr:uid="{00000000-0002-0000-0000-000002000000}">
      <formula1>Produkt</formula1>
    </dataValidation>
    <dataValidation type="list" allowBlank="1" showInputMessage="1" showErrorMessage="1" errorTitle="Please select" sqref="I1" xr:uid="{00000000-0002-0000-0000-000003000000}">
      <formula1>Beschluss</formula1>
    </dataValidation>
    <dataValidation type="list" allowBlank="1" showInputMessage="1" showErrorMessage="1" errorTitle="please select" sqref="C33" xr:uid="{00000000-0002-0000-0000-000004000000}">
      <formula1>Einheit</formula1>
    </dataValidation>
    <dataValidation allowBlank="1" showInputMessage="1" showErrorMessage="1" errorTitle="please select" sqref="C34:E34" xr:uid="{00000000-0002-0000-0000-000005000000}"/>
    <dataValidation type="list" allowBlank="1" showInputMessage="1" showErrorMessage="1" errorTitle="please select" sqref="C28:C32" xr:uid="{00000000-0002-0000-0000-000006000000}">
      <formula1>janein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56"/>
  <sheetViews>
    <sheetView zoomScaleNormal="100" workbookViewId="0">
      <selection activeCell="C12" sqref="C12:J12"/>
    </sheetView>
  </sheetViews>
  <sheetFormatPr baseColWidth="10" defaultColWidth="11.5" defaultRowHeight="13" x14ac:dyDescent="0.15"/>
  <cols>
    <col min="1" max="1" width="26.6640625" style="162" customWidth="1"/>
    <col min="2" max="3" width="14.33203125" style="162" customWidth="1"/>
    <col min="4" max="4" width="12.6640625" style="162" customWidth="1"/>
    <col min="5" max="7" width="12.6640625" style="162" hidden="1" customWidth="1"/>
    <col min="8" max="8" width="12.1640625" style="162" bestFit="1" customWidth="1"/>
    <col min="9" max="9" width="15.33203125" style="162" bestFit="1" customWidth="1"/>
    <col min="10" max="10" width="12.1640625" style="162" bestFit="1" customWidth="1"/>
    <col min="11" max="11" width="4.33203125" style="162" customWidth="1"/>
    <col min="12" max="12" width="26.6640625" style="162" customWidth="1"/>
    <col min="13" max="14" width="14.33203125" style="162" customWidth="1"/>
    <col min="15" max="15" width="12.6640625" style="162" customWidth="1"/>
    <col min="16" max="18" width="15.6640625" style="162" hidden="1" customWidth="1"/>
    <col min="19" max="19" width="12.1640625" style="162" bestFit="1" customWidth="1"/>
    <col min="20" max="20" width="15.33203125" style="162" bestFit="1" customWidth="1"/>
    <col min="21" max="21" width="12.1640625" style="162" bestFit="1" customWidth="1"/>
    <col min="22" max="22" width="4" style="162" customWidth="1"/>
    <col min="23" max="16384" width="11.5" style="162"/>
  </cols>
  <sheetData>
    <row r="1" spans="1:24" s="170" customFormat="1" ht="17.25" customHeight="1" x14ac:dyDescent="0.2">
      <c r="A1" s="187"/>
      <c r="B1" s="103"/>
      <c r="C1" s="188"/>
      <c r="D1" s="187"/>
      <c r="E1" s="187"/>
      <c r="F1" s="187"/>
      <c r="G1" s="187"/>
      <c r="H1" s="186"/>
      <c r="I1" s="186"/>
      <c r="J1" s="190"/>
      <c r="K1" s="190"/>
      <c r="L1" s="665" t="str">
        <f>Product!G1</f>
        <v>COMMISSION DECISION</v>
      </c>
      <c r="M1" s="666"/>
      <c r="N1" s="684">
        <f>Product!I1</f>
        <v>0</v>
      </c>
      <c r="O1" s="695"/>
      <c r="P1" s="695"/>
      <c r="Q1" s="695"/>
      <c r="R1" s="695"/>
      <c r="S1" s="695"/>
      <c r="T1" s="695"/>
      <c r="U1" s="685"/>
      <c r="V1" s="189"/>
      <c r="W1" s="189"/>
      <c r="X1" s="189"/>
    </row>
    <row r="2" spans="1:24" s="170" customFormat="1" ht="16" x14ac:dyDescent="0.2">
      <c r="A2" s="191"/>
      <c r="B2" s="192"/>
      <c r="C2" s="192"/>
      <c r="D2" s="191"/>
      <c r="E2" s="191"/>
      <c r="F2" s="191"/>
      <c r="G2" s="191"/>
      <c r="H2" s="192"/>
      <c r="I2" s="192"/>
      <c r="J2" s="192"/>
      <c r="K2" s="192"/>
      <c r="L2" s="172"/>
      <c r="M2" s="172"/>
      <c r="N2" s="189"/>
      <c r="O2" s="297" t="str">
        <f>Product!I2</f>
        <v>Template March 2020</v>
      </c>
      <c r="P2" s="189"/>
      <c r="Q2" s="189"/>
      <c r="R2" s="189"/>
      <c r="S2" s="189"/>
      <c r="T2" s="189"/>
      <c r="U2" s="189"/>
      <c r="V2" s="189"/>
      <c r="W2" s="189"/>
      <c r="X2" s="189"/>
    </row>
    <row r="3" spans="1:24" s="170" customFormat="1" ht="15.75" customHeight="1" x14ac:dyDescent="0.2">
      <c r="A3" s="755" t="str">
        <f>Product!A4</f>
        <v>Contract number:</v>
      </c>
      <c r="B3" s="756"/>
      <c r="C3" s="757">
        <f>Product!C4</f>
        <v>0</v>
      </c>
      <c r="D3" s="758"/>
      <c r="E3" s="758"/>
      <c r="F3" s="758"/>
      <c r="G3" s="758"/>
      <c r="H3" s="758"/>
      <c r="I3" s="758"/>
      <c r="J3" s="758"/>
      <c r="K3" s="759"/>
      <c r="L3" s="172"/>
      <c r="M3" s="172"/>
      <c r="N3" s="189"/>
      <c r="O3" s="491" t="str">
        <f>Product!H4</f>
        <v>Date:</v>
      </c>
      <c r="P3" s="781">
        <f>Product!I4</f>
        <v>0</v>
      </c>
      <c r="Q3" s="782"/>
      <c r="R3" s="782"/>
      <c r="S3" s="782"/>
      <c r="T3" s="783"/>
      <c r="U3" s="189"/>
      <c r="V3" s="189"/>
      <c r="W3" s="189"/>
      <c r="X3" s="189"/>
    </row>
    <row r="4" spans="1:24" s="170" customFormat="1" ht="15.75" customHeight="1" x14ac:dyDescent="0.2">
      <c r="A4" s="755" t="str">
        <f>Product!A5</f>
        <v>Licence Holder:</v>
      </c>
      <c r="B4" s="756"/>
      <c r="C4" s="757">
        <f>Product!C5</f>
        <v>0</v>
      </c>
      <c r="D4" s="758"/>
      <c r="E4" s="758"/>
      <c r="F4" s="758"/>
      <c r="G4" s="758"/>
      <c r="H4" s="758"/>
      <c r="I4" s="758"/>
      <c r="J4" s="758"/>
      <c r="K4" s="759"/>
      <c r="L4" s="172"/>
      <c r="M4" s="172"/>
      <c r="N4" s="189"/>
      <c r="O4" s="491" t="str">
        <f>Product!H5</f>
        <v>Version:</v>
      </c>
      <c r="P4" s="784">
        <f>Product!I5</f>
        <v>0</v>
      </c>
      <c r="Q4" s="785"/>
      <c r="R4" s="785"/>
      <c r="S4" s="785"/>
      <c r="T4" s="786"/>
      <c r="U4" s="189"/>
      <c r="V4" s="189"/>
      <c r="W4" s="189"/>
      <c r="X4" s="189"/>
    </row>
    <row r="5" spans="1:24" s="170" customFormat="1" ht="15.75" customHeight="1" x14ac:dyDescent="0.2">
      <c r="A5" s="755" t="str">
        <f>Product!A22</f>
        <v>Type of product:</v>
      </c>
      <c r="B5" s="756"/>
      <c r="C5" s="757">
        <f>Product!C22</f>
        <v>0</v>
      </c>
      <c r="D5" s="758"/>
      <c r="E5" s="758"/>
      <c r="F5" s="758"/>
      <c r="G5" s="758"/>
      <c r="H5" s="758"/>
      <c r="I5" s="758"/>
      <c r="J5" s="758"/>
      <c r="K5" s="759"/>
      <c r="L5" s="172"/>
      <c r="M5" s="172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</row>
    <row r="6" spans="1:24" s="170" customFormat="1" ht="15.75" customHeight="1" x14ac:dyDescent="0.2">
      <c r="A6" s="755" t="str">
        <f>Product!A24</f>
        <v>Form of product:</v>
      </c>
      <c r="B6" s="756"/>
      <c r="C6" s="757">
        <f>Product!C24</f>
        <v>0</v>
      </c>
      <c r="D6" s="758"/>
      <c r="E6" s="758"/>
      <c r="F6" s="758"/>
      <c r="G6" s="758"/>
      <c r="H6" s="758"/>
      <c r="I6" s="758"/>
      <c r="J6" s="758"/>
      <c r="K6" s="759"/>
      <c r="L6" s="172"/>
      <c r="M6" s="172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</row>
    <row r="7" spans="1:24" s="170" customFormat="1" ht="16" x14ac:dyDescent="0.2">
      <c r="A7" s="778" t="str">
        <f>IF(Product!$C$2=Languages!A3,Languages!A332,Languages!B332)</f>
        <v>Highest recommended dosage (soft water)</v>
      </c>
      <c r="B7" s="778"/>
      <c r="C7" s="775">
        <f>MAX(Product!C35,Product!C37,Product!C39)</f>
        <v>0</v>
      </c>
      <c r="D7" s="776"/>
      <c r="E7" s="776"/>
      <c r="F7" s="776"/>
      <c r="G7" s="776"/>
      <c r="H7" s="776"/>
      <c r="I7" s="776"/>
      <c r="J7" s="776"/>
      <c r="K7" s="777"/>
      <c r="L7" s="740">
        <f>Product!C33</f>
        <v>0</v>
      </c>
      <c r="M7" s="740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</row>
    <row r="8" spans="1:24" s="170" customFormat="1" ht="16" x14ac:dyDescent="0.2">
      <c r="A8" s="778" t="str">
        <f>IF(Product!$C$2=Languages!A3,Languages!A333,Languages!B333)</f>
        <v>Highest recommended dosage (medium water)</v>
      </c>
      <c r="B8" s="778"/>
      <c r="C8" s="775">
        <f>MAX(Product!D35,Product!D37,Product!D39)</f>
        <v>0</v>
      </c>
      <c r="D8" s="776"/>
      <c r="E8" s="776"/>
      <c r="F8" s="776"/>
      <c r="G8" s="776"/>
      <c r="H8" s="776"/>
      <c r="I8" s="776"/>
      <c r="J8" s="776"/>
      <c r="K8" s="777"/>
      <c r="L8" s="740">
        <f>L7</f>
        <v>0</v>
      </c>
      <c r="M8" s="740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</row>
    <row r="9" spans="1:24" s="170" customFormat="1" ht="15.75" customHeight="1" x14ac:dyDescent="0.15">
      <c r="A9" s="778" t="str">
        <f>IF(Product!$C$2=Languages!A3,Languages!A334,Languages!B334)</f>
        <v>Highest recommended dosage (hard water)</v>
      </c>
      <c r="B9" s="778"/>
      <c r="C9" s="775">
        <f>MAX(Product!E35,Product!E37,Product!E39)</f>
        <v>0</v>
      </c>
      <c r="D9" s="776"/>
      <c r="E9" s="776"/>
      <c r="F9" s="776"/>
      <c r="G9" s="776"/>
      <c r="H9" s="776"/>
      <c r="I9" s="776"/>
      <c r="J9" s="776"/>
      <c r="K9" s="777"/>
      <c r="L9" s="740">
        <f>L7</f>
        <v>0</v>
      </c>
      <c r="M9" s="740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</row>
    <row r="10" spans="1:24" s="170" customFormat="1" ht="15.75" customHeight="1" thickBot="1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89"/>
      <c r="M10" s="189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</row>
    <row r="11" spans="1:24" s="170" customFormat="1" ht="15.75" customHeight="1" x14ac:dyDescent="0.15">
      <c r="A11" s="298"/>
      <c r="B11" s="299"/>
      <c r="C11" s="752" t="str">
        <f>IF(Product!$C$2=Languages!A3,Languages!A195,Languages!B195)</f>
        <v>packaging size 1</v>
      </c>
      <c r="D11" s="753">
        <f>IF(Product!$C$2=Languages!C12,Languages!C114,Languages!D114)</f>
        <v>0</v>
      </c>
      <c r="E11" s="753"/>
      <c r="F11" s="753"/>
      <c r="G11" s="753"/>
      <c r="H11" s="753">
        <f>IF(Product!$C$2=Languages!D12,Languages!D114,Languages!E114)</f>
        <v>0</v>
      </c>
      <c r="I11" s="753"/>
      <c r="J11" s="754">
        <f>IF(Product!$C$2=Languages!E12,Languages!E114,Languages!F114)</f>
        <v>0</v>
      </c>
      <c r="K11" s="175"/>
      <c r="L11" s="298"/>
      <c r="M11" s="299"/>
      <c r="N11" s="752" t="str">
        <f>IF(Product!$C$2=Languages!A3,Languages!A197,Languages!B197)</f>
        <v>packaging size 3</v>
      </c>
      <c r="O11" s="753">
        <f>IF(Product!$C$2=Languages!J12,Languages!J114,Languages!K114)</f>
        <v>0</v>
      </c>
      <c r="P11" s="753">
        <f>IF(Product!$C$2=Languages!K12,Languages!K114,Languages!L114)</f>
        <v>0</v>
      </c>
      <c r="Q11" s="753"/>
      <c r="R11" s="753"/>
      <c r="S11" s="753"/>
      <c r="T11" s="753"/>
      <c r="U11" s="754">
        <f>IF(Product!$C$2=Languages!L12,Languages!L114,Languages!M114)</f>
        <v>0</v>
      </c>
      <c r="V11" s="193"/>
      <c r="W11" s="193"/>
      <c r="X11" s="193"/>
    </row>
    <row r="12" spans="1:24" s="170" customFormat="1" ht="19.5" customHeight="1" x14ac:dyDescent="0.15">
      <c r="A12" s="748" t="str">
        <f>IF(Product!$C$2=Languages!A3,Languages!A183,Languages!B183)</f>
        <v>Description of the packaging:</v>
      </c>
      <c r="B12" s="749"/>
      <c r="C12" s="745"/>
      <c r="D12" s="746"/>
      <c r="E12" s="746"/>
      <c r="F12" s="746"/>
      <c r="G12" s="746"/>
      <c r="H12" s="746"/>
      <c r="I12" s="746"/>
      <c r="J12" s="747"/>
      <c r="K12" s="175"/>
      <c r="L12" s="750" t="str">
        <f>A12</f>
        <v>Description of the packaging:</v>
      </c>
      <c r="M12" s="751"/>
      <c r="N12" s="745"/>
      <c r="O12" s="746"/>
      <c r="P12" s="746"/>
      <c r="Q12" s="746"/>
      <c r="R12" s="746"/>
      <c r="S12" s="746"/>
      <c r="T12" s="746"/>
      <c r="U12" s="747"/>
      <c r="V12" s="193"/>
      <c r="W12" s="193"/>
      <c r="X12" s="193"/>
    </row>
    <row r="13" spans="1:24" s="170" customFormat="1" ht="51" customHeight="1" x14ac:dyDescent="0.15">
      <c r="A13" s="743" t="str">
        <f>IF(Product!$C$2=Languages!A3,Languages!A185,Languages!B185)</f>
        <v>Volume of the product in the primary
packaging (if reference dosage in ml 
in l, if reference dosage in g in kg):</v>
      </c>
      <c r="B13" s="744"/>
      <c r="C13" s="745"/>
      <c r="D13" s="746"/>
      <c r="E13" s="746"/>
      <c r="F13" s="746"/>
      <c r="G13" s="746"/>
      <c r="H13" s="746"/>
      <c r="I13" s="746"/>
      <c r="J13" s="747"/>
      <c r="K13" s="175"/>
      <c r="L13" s="741" t="str">
        <f t="shared" ref="L13" si="0">A13</f>
        <v>Volume of the product in the primary
packaging (if reference dosage in ml 
in l, if reference dosage in g in kg):</v>
      </c>
      <c r="M13" s="742"/>
      <c r="N13" s="745"/>
      <c r="O13" s="746"/>
      <c r="P13" s="746"/>
      <c r="Q13" s="746"/>
      <c r="R13" s="746"/>
      <c r="S13" s="746"/>
      <c r="T13" s="746"/>
      <c r="U13" s="747"/>
      <c r="V13" s="193"/>
      <c r="W13" s="193"/>
      <c r="X13" s="193"/>
    </row>
    <row r="14" spans="1:24" s="170" customFormat="1" ht="14" thickBot="1" x14ac:dyDescent="0.2">
      <c r="A14" s="300"/>
      <c r="B14" s="192"/>
      <c r="C14" s="192"/>
      <c r="D14" s="192"/>
      <c r="E14" s="192"/>
      <c r="F14" s="192"/>
      <c r="G14" s="192"/>
      <c r="H14" s="192"/>
      <c r="I14" s="192"/>
      <c r="J14" s="301"/>
      <c r="K14" s="190"/>
      <c r="L14" s="300"/>
      <c r="M14" s="192"/>
      <c r="N14" s="192"/>
      <c r="O14" s="192"/>
      <c r="P14" s="192"/>
      <c r="Q14" s="192"/>
      <c r="R14" s="192"/>
      <c r="S14" s="192"/>
      <c r="T14" s="192"/>
      <c r="U14" s="301"/>
      <c r="V14" s="193"/>
      <c r="W14" s="193"/>
      <c r="X14" s="193"/>
    </row>
    <row r="15" spans="1:24" ht="54" customHeight="1" x14ac:dyDescent="0.15">
      <c r="A15" s="265" t="str">
        <f>IF(Product!$C$2=Languages!A3,Languages!A187,Languages!B187)</f>
        <v>Part (i) of the primary packaging 
(please specify part)</v>
      </c>
      <c r="B15" s="266" t="str">
        <f>IF(Product!$C$2=Languages!A3,Languages!A188,Languages!B188)</f>
        <v>Weight of 
this part (i)
in g (Wi)</v>
      </c>
      <c r="C15" s="266" t="str">
        <f>IF(Product!$C$2=Languages!A3,Languages!A189,Languages!B189)</f>
        <v>thereof virgin
material in g (Ui)</v>
      </c>
      <c r="D15" s="266" t="str">
        <f>IF(Product!$C$2=Languages!A3,Languages!A190,Languages!B190)</f>
        <v>Recycling
figure (ri)</v>
      </c>
      <c r="E15" s="473" t="s">
        <v>984</v>
      </c>
      <c r="F15" s="473" t="s">
        <v>985</v>
      </c>
      <c r="G15" s="473" t="s">
        <v>986</v>
      </c>
      <c r="H15" s="481" t="s">
        <v>987</v>
      </c>
      <c r="I15" s="481" t="s">
        <v>988</v>
      </c>
      <c r="J15" s="267" t="s">
        <v>989</v>
      </c>
      <c r="K15" s="190"/>
      <c r="L15" s="265" t="str">
        <f>A15</f>
        <v>Part (i) of the primary packaging 
(please specify part)</v>
      </c>
      <c r="M15" s="266" t="str">
        <f>B15</f>
        <v>Weight of 
this part (i)
in g (Wi)</v>
      </c>
      <c r="N15" s="266" t="str">
        <f>C15</f>
        <v>thereof virgin
material in g (Ui)</v>
      </c>
      <c r="O15" s="266" t="str">
        <f>D15</f>
        <v>Recycling
figure (ri)</v>
      </c>
      <c r="P15" s="473" t="s">
        <v>984</v>
      </c>
      <c r="Q15" s="473" t="s">
        <v>985</v>
      </c>
      <c r="R15" s="473" t="s">
        <v>986</v>
      </c>
      <c r="S15" s="481" t="s">
        <v>987</v>
      </c>
      <c r="T15" s="481" t="s">
        <v>988</v>
      </c>
      <c r="U15" s="267" t="s">
        <v>989</v>
      </c>
      <c r="V15" s="193"/>
      <c r="W15" s="193"/>
      <c r="X15" s="193"/>
    </row>
    <row r="16" spans="1:24" ht="15" customHeight="1" x14ac:dyDescent="0.15">
      <c r="A16" s="176"/>
      <c r="B16" s="183"/>
      <c r="C16" s="183"/>
      <c r="D16" s="177"/>
      <c r="E16" s="268" t="e">
        <f>$C$13*1000/$C$7</f>
        <v>#DIV/0!</v>
      </c>
      <c r="F16" s="268" t="e">
        <f>$C$13*1000/$C$8</f>
        <v>#DIV/0!</v>
      </c>
      <c r="G16" s="268" t="e">
        <f>$C$13*1000/$C$9</f>
        <v>#DIV/0!</v>
      </c>
      <c r="H16" s="478" t="str">
        <f>IF(A16="","",((B16+C16)/(E16*D16)))</f>
        <v/>
      </c>
      <c r="I16" s="479" t="str">
        <f>IF(A16="","",((B16+C16)/(F16*D16)))</f>
        <v/>
      </c>
      <c r="J16" s="269" t="str">
        <f>IF(A16="","",((B16+C16)/(G16*D16)))</f>
        <v/>
      </c>
      <c r="K16" s="190"/>
      <c r="L16" s="176"/>
      <c r="M16" s="183"/>
      <c r="N16" s="183"/>
      <c r="O16" s="177"/>
      <c r="P16" s="268" t="e">
        <f>$N$13*1000/$C$7</f>
        <v>#DIV/0!</v>
      </c>
      <c r="Q16" s="268" t="e">
        <f>$N$13*1000/$C$8</f>
        <v>#DIV/0!</v>
      </c>
      <c r="R16" s="268" t="e">
        <f>$N$13*1000/$C$9</f>
        <v>#DIV/0!</v>
      </c>
      <c r="S16" s="478" t="str">
        <f>IF(L16="","",((M16+N16)/(P16*O16)))</f>
        <v/>
      </c>
      <c r="T16" s="479" t="str">
        <f>IF(L16="","",((M16+N16)/(Q16*O16)))</f>
        <v/>
      </c>
      <c r="U16" s="269" t="str">
        <f>IF(L16="","",((M16+N16)/(R16*O16)))</f>
        <v/>
      </c>
      <c r="V16" s="193"/>
      <c r="W16" s="193"/>
      <c r="X16" s="193"/>
    </row>
    <row r="17" spans="1:26" ht="15" customHeight="1" x14ac:dyDescent="0.15">
      <c r="A17" s="178"/>
      <c r="B17" s="183"/>
      <c r="C17" s="183"/>
      <c r="D17" s="177"/>
      <c r="E17" s="268" t="e">
        <f t="shared" ref="E17:E20" si="1">$C$13*1000/$C$7</f>
        <v>#DIV/0!</v>
      </c>
      <c r="F17" s="268" t="e">
        <f t="shared" ref="F17:F20" si="2">$C$13*1000/$C$8</f>
        <v>#DIV/0!</v>
      </c>
      <c r="G17" s="268" t="e">
        <f t="shared" ref="G17:G20" si="3">$C$13*1000/$C$9</f>
        <v>#DIV/0!</v>
      </c>
      <c r="H17" s="478" t="str">
        <f t="shared" ref="H17:H20" si="4">IF(A17="","",((B17+C17)/(E17*D17)))</f>
        <v/>
      </c>
      <c r="I17" s="479" t="str">
        <f t="shared" ref="I17:I20" si="5">IF(A17="","",((B17+C17)/(F17*D17)))</f>
        <v/>
      </c>
      <c r="J17" s="269" t="str">
        <f t="shared" ref="J17:J20" si="6">IF(A17="","",((B17+C17)/(G17*D17)))</f>
        <v/>
      </c>
      <c r="K17" s="190"/>
      <c r="L17" s="178"/>
      <c r="M17" s="183"/>
      <c r="N17" s="183"/>
      <c r="O17" s="177"/>
      <c r="P17" s="268" t="e">
        <f t="shared" ref="P17:P20" si="7">$N$13*1000/$C$7</f>
        <v>#DIV/0!</v>
      </c>
      <c r="Q17" s="268" t="e">
        <f t="shared" ref="Q17:Q20" si="8">$N$13*1000/$C$8</f>
        <v>#DIV/0!</v>
      </c>
      <c r="R17" s="268" t="e">
        <f t="shared" ref="R17:R20" si="9">$N$13*1000/$C$9</f>
        <v>#DIV/0!</v>
      </c>
      <c r="S17" s="478" t="str">
        <f t="shared" ref="S17:S20" si="10">IF(L17="","",((M17+N17)/(P17*O17)))</f>
        <v/>
      </c>
      <c r="T17" s="479" t="str">
        <f t="shared" ref="T17:T20" si="11">IF(L17="","",((M17+N17)/(Q17*O17)))</f>
        <v/>
      </c>
      <c r="U17" s="269" t="str">
        <f t="shared" ref="U17:U20" si="12">IF(L17="","",((M17+N17)/(R17*O17)))</f>
        <v/>
      </c>
      <c r="V17" s="193"/>
      <c r="W17" s="193"/>
      <c r="X17" s="193"/>
    </row>
    <row r="18" spans="1:26" ht="15" customHeight="1" x14ac:dyDescent="0.15">
      <c r="A18" s="178"/>
      <c r="B18" s="183"/>
      <c r="C18" s="183"/>
      <c r="D18" s="177"/>
      <c r="E18" s="268" t="e">
        <f t="shared" si="1"/>
        <v>#DIV/0!</v>
      </c>
      <c r="F18" s="268" t="e">
        <f t="shared" si="2"/>
        <v>#DIV/0!</v>
      </c>
      <c r="G18" s="268" t="e">
        <f t="shared" si="3"/>
        <v>#DIV/0!</v>
      </c>
      <c r="H18" s="478" t="str">
        <f t="shared" si="4"/>
        <v/>
      </c>
      <c r="I18" s="479" t="str">
        <f t="shared" si="5"/>
        <v/>
      </c>
      <c r="J18" s="269" t="str">
        <f t="shared" si="6"/>
        <v/>
      </c>
      <c r="K18" s="190"/>
      <c r="L18" s="178"/>
      <c r="M18" s="183"/>
      <c r="N18" s="183"/>
      <c r="O18" s="177"/>
      <c r="P18" s="268" t="e">
        <f t="shared" si="7"/>
        <v>#DIV/0!</v>
      </c>
      <c r="Q18" s="268" t="e">
        <f t="shared" si="8"/>
        <v>#DIV/0!</v>
      </c>
      <c r="R18" s="268" t="e">
        <f t="shared" si="9"/>
        <v>#DIV/0!</v>
      </c>
      <c r="S18" s="478" t="str">
        <f t="shared" si="10"/>
        <v/>
      </c>
      <c r="T18" s="479" t="str">
        <f t="shared" si="11"/>
        <v/>
      </c>
      <c r="U18" s="269" t="str">
        <f t="shared" si="12"/>
        <v/>
      </c>
      <c r="V18" s="193"/>
      <c r="W18" s="193"/>
      <c r="X18" s="193"/>
    </row>
    <row r="19" spans="1:26" ht="15" customHeight="1" x14ac:dyDescent="0.15">
      <c r="A19" s="178"/>
      <c r="B19" s="183"/>
      <c r="C19" s="183"/>
      <c r="D19" s="177"/>
      <c r="E19" s="268" t="e">
        <f t="shared" si="1"/>
        <v>#DIV/0!</v>
      </c>
      <c r="F19" s="268" t="e">
        <f t="shared" si="2"/>
        <v>#DIV/0!</v>
      </c>
      <c r="G19" s="268" t="e">
        <f t="shared" si="3"/>
        <v>#DIV/0!</v>
      </c>
      <c r="H19" s="478" t="str">
        <f t="shared" si="4"/>
        <v/>
      </c>
      <c r="I19" s="479" t="str">
        <f t="shared" si="5"/>
        <v/>
      </c>
      <c r="J19" s="269" t="str">
        <f t="shared" si="6"/>
        <v/>
      </c>
      <c r="K19" s="190"/>
      <c r="L19" s="178"/>
      <c r="M19" s="183"/>
      <c r="N19" s="183"/>
      <c r="O19" s="177"/>
      <c r="P19" s="268" t="e">
        <f t="shared" si="7"/>
        <v>#DIV/0!</v>
      </c>
      <c r="Q19" s="268" t="e">
        <f t="shared" si="8"/>
        <v>#DIV/0!</v>
      </c>
      <c r="R19" s="268" t="e">
        <f t="shared" si="9"/>
        <v>#DIV/0!</v>
      </c>
      <c r="S19" s="478" t="str">
        <f t="shared" si="10"/>
        <v/>
      </c>
      <c r="T19" s="479" t="str">
        <f t="shared" si="11"/>
        <v/>
      </c>
      <c r="U19" s="269" t="str">
        <f t="shared" si="12"/>
        <v/>
      </c>
      <c r="V19" s="193"/>
      <c r="W19" s="193"/>
      <c r="X19" s="193"/>
    </row>
    <row r="20" spans="1:26" ht="15" customHeight="1" thickBot="1" x14ac:dyDescent="0.2">
      <c r="A20" s="179"/>
      <c r="B20" s="184"/>
      <c r="C20" s="184"/>
      <c r="D20" s="180"/>
      <c r="E20" s="270" t="e">
        <f t="shared" si="1"/>
        <v>#DIV/0!</v>
      </c>
      <c r="F20" s="270" t="e">
        <f t="shared" si="2"/>
        <v>#DIV/0!</v>
      </c>
      <c r="G20" s="270" t="e">
        <f t="shared" si="3"/>
        <v>#DIV/0!</v>
      </c>
      <c r="H20" s="482" t="str">
        <f t="shared" si="4"/>
        <v/>
      </c>
      <c r="I20" s="483" t="str">
        <f t="shared" si="5"/>
        <v/>
      </c>
      <c r="J20" s="271" t="str">
        <f t="shared" si="6"/>
        <v/>
      </c>
      <c r="K20" s="190"/>
      <c r="L20" s="179"/>
      <c r="M20" s="184"/>
      <c r="N20" s="184"/>
      <c r="O20" s="180"/>
      <c r="P20" s="270" t="e">
        <f t="shared" si="7"/>
        <v>#DIV/0!</v>
      </c>
      <c r="Q20" s="270" t="e">
        <f t="shared" si="8"/>
        <v>#DIV/0!</v>
      </c>
      <c r="R20" s="270" t="e">
        <f t="shared" si="9"/>
        <v>#DIV/0!</v>
      </c>
      <c r="S20" s="482" t="str">
        <f t="shared" si="10"/>
        <v/>
      </c>
      <c r="T20" s="483" t="str">
        <f t="shared" si="11"/>
        <v/>
      </c>
      <c r="U20" s="271" t="str">
        <f t="shared" si="12"/>
        <v/>
      </c>
      <c r="V20" s="193"/>
      <c r="W20" s="193"/>
      <c r="X20" s="193"/>
    </row>
    <row r="21" spans="1:26" ht="17.25" customHeight="1" x14ac:dyDescent="0.15">
      <c r="A21" s="300"/>
      <c r="B21" s="487"/>
      <c r="C21" s="272" t="str">
        <f>IF(Product!$C$2=Languages!A3,Languages!A24,Languages!B24)</f>
        <v>Sum:</v>
      </c>
      <c r="D21" s="273" t="str">
        <f>IF(Product!$C$2=Languages!A3,Languages!A194,Languages!B194)</f>
        <v>=WUR</v>
      </c>
      <c r="E21" s="474"/>
      <c r="F21" s="474"/>
      <c r="G21" s="474"/>
      <c r="H21" s="480">
        <f t="shared" ref="H21:I21" si="13">SUM(H16:H20)</f>
        <v>0</v>
      </c>
      <c r="I21" s="480">
        <f t="shared" si="13"/>
        <v>0</v>
      </c>
      <c r="J21" s="488">
        <f>SUM(J16:J20)</f>
        <v>0</v>
      </c>
      <c r="K21" s="190"/>
      <c r="L21" s="300"/>
      <c r="M21" s="192"/>
      <c r="N21" s="272" t="str">
        <f>C21</f>
        <v>Sum:</v>
      </c>
      <c r="O21" s="273" t="str">
        <f>D21</f>
        <v>=WUR</v>
      </c>
      <c r="P21" s="474"/>
      <c r="Q21" s="474"/>
      <c r="R21" s="474"/>
      <c r="S21" s="480">
        <f t="shared" ref="S21" si="14">SUM(S16:S20)</f>
        <v>0</v>
      </c>
      <c r="T21" s="480">
        <f t="shared" ref="T21" si="15">SUM(T16:T20)</f>
        <v>0</v>
      </c>
      <c r="U21" s="488">
        <f>SUM(U16:U20)</f>
        <v>0</v>
      </c>
      <c r="V21" s="193"/>
      <c r="W21" s="193"/>
      <c r="X21" s="193"/>
    </row>
    <row r="22" spans="1:26" ht="21.75" customHeight="1" x14ac:dyDescent="0.15">
      <c r="A22" s="300"/>
      <c r="B22" s="192"/>
      <c r="C22" s="192"/>
      <c r="D22" s="465" t="str">
        <f>IF(Product!$C$2=Languages!A3,Languages!A203,Languages!B203)</f>
        <v>Limit</v>
      </c>
      <c r="E22" s="192"/>
      <c r="F22" s="192"/>
      <c r="G22" s="192"/>
      <c r="H22" s="475" t="str">
        <f>IF(Auswahldaten!D3=TRUE,0.8,IF(Auswahldaten!D4=TRUE,1.5,IF(Auswahldaten!E3=TRUE,1,IF(Auswahldaten!E4=TRUE,2," "))))</f>
        <v xml:space="preserve"> </v>
      </c>
      <c r="I22" s="475" t="str">
        <f>IF(Auswahldaten!D3=TRUE,1.4,IF(Auswahldaten!D4=TRUE,2,IF(Auswahldaten!E3=TRUE,1.8,IF(Auswahldaten!E4=TRUE,2.5," "))))</f>
        <v xml:space="preserve"> </v>
      </c>
      <c r="J22" s="489" t="str">
        <f>IF(Auswahldaten!D3=TRUE,2,IF(Auswahldaten!D4=TRUE,2.5,IF(Auswahldaten!E3=TRUE,2.5,IF(Auswahldaten!E4=TRUE,3," "))))</f>
        <v xml:space="preserve"> </v>
      </c>
      <c r="K22" s="190"/>
      <c r="L22" s="300"/>
      <c r="M22" s="192"/>
      <c r="N22" s="192"/>
      <c r="O22" s="465" t="str">
        <f>D22</f>
        <v>Limit</v>
      </c>
      <c r="P22" s="192"/>
      <c r="Q22" s="192"/>
      <c r="R22" s="192"/>
      <c r="S22" s="475" t="str">
        <f>H22</f>
        <v xml:space="preserve"> </v>
      </c>
      <c r="T22" s="475" t="str">
        <f t="shared" ref="T22:U22" si="16">I22</f>
        <v xml:space="preserve"> </v>
      </c>
      <c r="U22" s="489" t="str">
        <f t="shared" si="16"/>
        <v xml:space="preserve"> </v>
      </c>
      <c r="V22" s="193"/>
      <c r="W22" s="193"/>
      <c r="X22" s="193"/>
    </row>
    <row r="23" spans="1:26" ht="25.5" customHeight="1" thickBot="1" x14ac:dyDescent="0.2">
      <c r="A23" s="741" t="str">
        <f>IF(Product!$C$2=Languages!A3,Languages!A324,Languages!B324)</f>
        <v>Recycled materials in primary packaging:</v>
      </c>
      <c r="B23" s="742"/>
      <c r="C23" s="274" t="str">
        <f>IF(C13="","",(SUM(B16:B20)-SUM(C16:C20))/SUM(B16:B20))</f>
        <v/>
      </c>
      <c r="D23" s="472" t="str">
        <f>IF(Product!$C$2=Languages!A3,Languages!A204,Languages!B204)</f>
        <v>Result</v>
      </c>
      <c r="E23" s="192"/>
      <c r="F23" s="192"/>
      <c r="G23" s="487"/>
      <c r="H23" s="472" t="str">
        <f>IF(OR(H21&lt;=H22,C23&gt;0.8),"ok","not ok")</f>
        <v>ok</v>
      </c>
      <c r="I23" s="472" t="str">
        <f>IF(OR(I21&lt;=I22,C23&gt;0.8),"ok","not ok")</f>
        <v>ok</v>
      </c>
      <c r="J23" s="302" t="str">
        <f>IF(OR(J21&lt;=J22,C23&gt;0.8),"ok","not ok")</f>
        <v>ok</v>
      </c>
      <c r="K23" s="190"/>
      <c r="L23" s="741" t="str">
        <f>A23</f>
        <v>Recycled materials in primary packaging:</v>
      </c>
      <c r="M23" s="742"/>
      <c r="N23" s="274" t="str">
        <f>IF(N13="","",(SUM(M16:M20)-SUM(N16:N20))/SUM(M16:M20))</f>
        <v/>
      </c>
      <c r="O23" s="472" t="str">
        <f>D23</f>
        <v>Result</v>
      </c>
      <c r="P23" s="192"/>
      <c r="Q23" s="192"/>
      <c r="R23" s="487"/>
      <c r="S23" s="472" t="str">
        <f>IF(OR(S21&lt;=S22,N23&gt;0.8),"ok","not ok")</f>
        <v>ok</v>
      </c>
      <c r="T23" s="472" t="str">
        <f>IF(OR(T21&lt;=T22,N23&gt;0.8),"ok","not ok")</f>
        <v>ok</v>
      </c>
      <c r="U23" s="302" t="str">
        <f>IF(OR(U21&lt;=U22,N23&gt;0.8),"ok","not ok")</f>
        <v>ok</v>
      </c>
      <c r="V23" s="193"/>
      <c r="W23" s="193"/>
      <c r="X23" s="193"/>
    </row>
    <row r="24" spans="1:26" ht="25.5" customHeight="1" thickTop="1" x14ac:dyDescent="0.15">
      <c r="A24" s="300"/>
      <c r="B24" s="192"/>
      <c r="C24" s="192"/>
      <c r="D24" s="192"/>
      <c r="E24" s="192"/>
      <c r="F24" s="192"/>
      <c r="G24" s="192"/>
      <c r="H24" s="192"/>
      <c r="I24" s="192"/>
      <c r="J24" s="301"/>
      <c r="K24" s="190"/>
      <c r="L24" s="300"/>
      <c r="M24" s="192"/>
      <c r="N24" s="192"/>
      <c r="O24" s="192"/>
      <c r="P24" s="192"/>
      <c r="Q24" s="192"/>
      <c r="R24" s="192"/>
      <c r="S24" s="192"/>
      <c r="T24" s="192"/>
      <c r="U24" s="301"/>
      <c r="V24" s="193"/>
      <c r="W24" s="193"/>
      <c r="X24" s="193"/>
    </row>
    <row r="25" spans="1:26" ht="9.75" customHeight="1" x14ac:dyDescent="0.15">
      <c r="A25" s="303"/>
      <c r="B25" s="192"/>
      <c r="C25" s="276"/>
      <c r="D25" s="276"/>
      <c r="E25" s="276"/>
      <c r="F25" s="276"/>
      <c r="G25" s="276"/>
      <c r="H25" s="277"/>
      <c r="I25" s="277"/>
      <c r="J25" s="304"/>
      <c r="K25" s="190"/>
      <c r="L25" s="303"/>
      <c r="M25" s="192"/>
      <c r="N25" s="276"/>
      <c r="O25" s="276"/>
      <c r="P25" s="277"/>
      <c r="Q25" s="277"/>
      <c r="R25" s="277"/>
      <c r="S25" s="277"/>
      <c r="T25" s="277"/>
      <c r="U25" s="304"/>
      <c r="V25" s="193"/>
      <c r="W25" s="193"/>
      <c r="X25" s="193"/>
    </row>
    <row r="26" spans="1:26" s="7" customFormat="1" ht="28.5" customHeight="1" x14ac:dyDescent="0.2">
      <c r="A26" s="773" t="str">
        <f>IF(Product!$C$2=Languages!A3,Languages!A142,Languages!B142)</f>
        <v>Part of the packaging
(excempted: Pump mechanisms (including in sprays)</v>
      </c>
      <c r="B26" s="774"/>
      <c r="C26" s="774"/>
      <c r="D26" s="18"/>
      <c r="E26" s="18"/>
      <c r="F26" s="18"/>
      <c r="G26" s="18"/>
      <c r="H26" s="18"/>
      <c r="I26" s="18"/>
      <c r="J26" s="305"/>
      <c r="K26" s="18"/>
      <c r="L26" s="773" t="str">
        <f>A26</f>
        <v>Part of the packaging
(excempted: Pump mechanisms (including in sprays)</v>
      </c>
      <c r="M26" s="774"/>
      <c r="N26" s="774"/>
      <c r="O26" s="18"/>
      <c r="P26" s="18"/>
      <c r="Q26" s="18"/>
      <c r="R26" s="18"/>
      <c r="S26" s="18"/>
      <c r="T26" s="18"/>
      <c r="U26" s="305"/>
      <c r="V26" s="54"/>
      <c r="W26" s="54"/>
      <c r="X26" s="54"/>
      <c r="Y26" s="8"/>
      <c r="Z26" s="8"/>
    </row>
    <row r="27" spans="1:26" s="7" customFormat="1" ht="15" customHeight="1" x14ac:dyDescent="0.2">
      <c r="A27" s="773" t="str">
        <f>IF(Product!$C$2=Languages!A3,Languages!A143,Languages!B143)</f>
        <v>Material Container/Bottle</v>
      </c>
      <c r="B27" s="774"/>
      <c r="C27" s="774"/>
      <c r="D27" s="767"/>
      <c r="E27" s="767"/>
      <c r="F27" s="767"/>
      <c r="G27" s="767"/>
      <c r="H27" s="767"/>
      <c r="I27" s="768"/>
      <c r="J27" s="769"/>
      <c r="K27" s="18"/>
      <c r="L27" s="773" t="str">
        <f t="shared" ref="L27:L30" si="17">A27</f>
        <v>Material Container/Bottle</v>
      </c>
      <c r="M27" s="774"/>
      <c r="N27" s="774"/>
      <c r="O27" s="767"/>
      <c r="P27" s="767"/>
      <c r="Q27" s="768"/>
      <c r="R27" s="768"/>
      <c r="S27" s="768"/>
      <c r="T27" s="768"/>
      <c r="U27" s="769"/>
      <c r="V27" s="54"/>
      <c r="W27" s="54"/>
      <c r="X27" s="54"/>
      <c r="Y27" s="8"/>
      <c r="Z27" s="8"/>
    </row>
    <row r="28" spans="1:26" s="7" customFormat="1" ht="15" customHeight="1" x14ac:dyDescent="0.2">
      <c r="A28" s="773" t="str">
        <f>IF(Product!$C$2=Languages!A3,Languages!A144,Languages!B144)</f>
        <v>Material Label</v>
      </c>
      <c r="B28" s="774"/>
      <c r="C28" s="774"/>
      <c r="D28" s="767"/>
      <c r="E28" s="767"/>
      <c r="F28" s="767"/>
      <c r="G28" s="767"/>
      <c r="H28" s="767"/>
      <c r="I28" s="768"/>
      <c r="J28" s="769"/>
      <c r="K28" s="18"/>
      <c r="L28" s="773" t="str">
        <f t="shared" si="17"/>
        <v>Material Label</v>
      </c>
      <c r="M28" s="774"/>
      <c r="N28" s="774"/>
      <c r="O28" s="767"/>
      <c r="P28" s="767"/>
      <c r="Q28" s="768"/>
      <c r="R28" s="768"/>
      <c r="S28" s="768"/>
      <c r="T28" s="768"/>
      <c r="U28" s="769"/>
      <c r="V28" s="54"/>
      <c r="W28" s="54"/>
      <c r="X28" s="54"/>
      <c r="Y28" s="8"/>
      <c r="Z28" s="8"/>
    </row>
    <row r="29" spans="1:26" s="7" customFormat="1" ht="15" customHeight="1" x14ac:dyDescent="0.2">
      <c r="A29" s="773" t="str">
        <f>IF(Product!$C$2=Languages!A3,Languages!A145,Languages!B145)</f>
        <v>Material Closure</v>
      </c>
      <c r="B29" s="774"/>
      <c r="C29" s="774"/>
      <c r="D29" s="767"/>
      <c r="E29" s="767"/>
      <c r="F29" s="767"/>
      <c r="G29" s="767"/>
      <c r="H29" s="767"/>
      <c r="I29" s="768"/>
      <c r="J29" s="769"/>
      <c r="K29" s="18"/>
      <c r="L29" s="773" t="str">
        <f t="shared" si="17"/>
        <v>Material Closure</v>
      </c>
      <c r="M29" s="774"/>
      <c r="N29" s="774"/>
      <c r="O29" s="767"/>
      <c r="P29" s="767"/>
      <c r="Q29" s="768"/>
      <c r="R29" s="768"/>
      <c r="S29" s="768"/>
      <c r="T29" s="768"/>
      <c r="U29" s="769"/>
      <c r="V29" s="54"/>
      <c r="W29" s="54"/>
      <c r="X29" s="54"/>
      <c r="Y29" s="8"/>
      <c r="Z29" s="8"/>
    </row>
    <row r="30" spans="1:26" s="7" customFormat="1" ht="15" customHeight="1" thickBot="1" x14ac:dyDescent="0.25">
      <c r="A30" s="779" t="str">
        <f>IF(Product!$C$2=Languages!A3,Languages!A146,Languages!B146)</f>
        <v>Material Barriere Coating</v>
      </c>
      <c r="B30" s="780"/>
      <c r="C30" s="780"/>
      <c r="D30" s="770"/>
      <c r="E30" s="770"/>
      <c r="F30" s="770"/>
      <c r="G30" s="770"/>
      <c r="H30" s="770"/>
      <c r="I30" s="771"/>
      <c r="J30" s="772"/>
      <c r="K30" s="18"/>
      <c r="L30" s="779" t="str">
        <f t="shared" si="17"/>
        <v>Material Barriere Coating</v>
      </c>
      <c r="M30" s="780"/>
      <c r="N30" s="780"/>
      <c r="O30" s="770"/>
      <c r="P30" s="770"/>
      <c r="Q30" s="771"/>
      <c r="R30" s="771"/>
      <c r="S30" s="771"/>
      <c r="T30" s="771"/>
      <c r="U30" s="772"/>
      <c r="V30" s="54"/>
      <c r="W30" s="54"/>
      <c r="X30" s="54"/>
      <c r="Y30" s="8"/>
      <c r="Z30" s="8"/>
    </row>
    <row r="31" spans="1:26" ht="10.5" customHeight="1" thickBot="1" x14ac:dyDescent="0.2">
      <c r="A31" s="275"/>
      <c r="B31" s="193"/>
      <c r="C31" s="276"/>
      <c r="D31" s="276"/>
      <c r="E31" s="276"/>
      <c r="F31" s="276"/>
      <c r="G31" s="276"/>
      <c r="H31" s="277"/>
      <c r="I31" s="277"/>
      <c r="J31" s="278"/>
      <c r="K31" s="190"/>
      <c r="L31" s="275"/>
      <c r="M31" s="193"/>
      <c r="N31" s="276"/>
      <c r="O31" s="276"/>
      <c r="P31" s="277"/>
      <c r="Q31" s="277"/>
      <c r="R31" s="277"/>
      <c r="S31" s="277"/>
      <c r="T31" s="277"/>
      <c r="U31" s="278"/>
      <c r="V31" s="193"/>
      <c r="W31" s="193"/>
      <c r="X31" s="193"/>
    </row>
    <row r="32" spans="1:26" s="170" customFormat="1" ht="15.75" customHeight="1" x14ac:dyDescent="0.15">
      <c r="A32" s="298"/>
      <c r="B32" s="299"/>
      <c r="C32" s="752" t="str">
        <f>IF(Product!$C$2=Languages!A3,Languages!A196,Languages!B196)</f>
        <v>packaging size 2</v>
      </c>
      <c r="D32" s="753">
        <f>IF(Product!$C$2=Languages!C27,Languages!C129,Languages!D129)</f>
        <v>0</v>
      </c>
      <c r="E32" s="753"/>
      <c r="F32" s="753"/>
      <c r="G32" s="753"/>
      <c r="H32" s="753">
        <f>IF(Product!$C$2=Languages!D27,Languages!D129,Languages!E129)</f>
        <v>0</v>
      </c>
      <c r="I32" s="753"/>
      <c r="J32" s="754">
        <f>IF(Product!$C$2=Languages!E27,Languages!E129,Languages!F129)</f>
        <v>0</v>
      </c>
      <c r="K32" s="175"/>
      <c r="L32" s="308"/>
      <c r="M32" s="309"/>
      <c r="N32" s="752" t="str">
        <f>IF(Product!$C$2=Languages!A3,Languages!A198,Languages!B198)</f>
        <v>packaging size 4</v>
      </c>
      <c r="O32" s="753">
        <f>IF(Product!$C$2=Languages!J27,Languages!J129,Languages!K129)</f>
        <v>0</v>
      </c>
      <c r="P32" s="753">
        <f>IF(Product!$C$2=Languages!K27,Languages!K129,Languages!L129)</f>
        <v>0</v>
      </c>
      <c r="Q32" s="753"/>
      <c r="R32" s="753"/>
      <c r="S32" s="753"/>
      <c r="T32" s="753"/>
      <c r="U32" s="754">
        <f>IF(Product!$C$2=Languages!L27,Languages!L129,Languages!M129)</f>
        <v>0</v>
      </c>
      <c r="V32" s="193"/>
      <c r="W32" s="193"/>
      <c r="X32" s="193"/>
    </row>
    <row r="33" spans="1:26" s="170" customFormat="1" ht="19.5" customHeight="1" x14ac:dyDescent="0.15">
      <c r="A33" s="750" t="str">
        <f>A12</f>
        <v>Description of the packaging:</v>
      </c>
      <c r="B33" s="751"/>
      <c r="C33" s="745"/>
      <c r="D33" s="746"/>
      <c r="E33" s="746"/>
      <c r="F33" s="746"/>
      <c r="G33" s="746"/>
      <c r="H33" s="746"/>
      <c r="I33" s="746"/>
      <c r="J33" s="747"/>
      <c r="K33" s="175"/>
      <c r="L33" s="750" t="str">
        <f>L12</f>
        <v>Description of the packaging:</v>
      </c>
      <c r="M33" s="751"/>
      <c r="N33" s="745"/>
      <c r="O33" s="746"/>
      <c r="P33" s="746"/>
      <c r="Q33" s="746"/>
      <c r="R33" s="746"/>
      <c r="S33" s="746"/>
      <c r="T33" s="746"/>
      <c r="U33" s="747"/>
      <c r="V33" s="193"/>
      <c r="W33" s="193"/>
      <c r="X33" s="193"/>
    </row>
    <row r="34" spans="1:26" s="170" customFormat="1" ht="40.5" customHeight="1" x14ac:dyDescent="0.15">
      <c r="A34" s="741" t="str">
        <f>A13</f>
        <v>Volume of the product in the primary
packaging (if reference dosage in ml 
in l, if reference dosage in g in kg):</v>
      </c>
      <c r="B34" s="742"/>
      <c r="C34" s="745"/>
      <c r="D34" s="746"/>
      <c r="E34" s="746"/>
      <c r="F34" s="746"/>
      <c r="G34" s="746"/>
      <c r="H34" s="746"/>
      <c r="I34" s="746"/>
      <c r="J34" s="747"/>
      <c r="K34" s="175"/>
      <c r="L34" s="763" t="str">
        <f>L13</f>
        <v>Volume of the product in the primary
packaging (if reference dosage in ml 
in l, if reference dosage in g in kg):</v>
      </c>
      <c r="M34" s="764"/>
      <c r="N34" s="745"/>
      <c r="O34" s="746"/>
      <c r="P34" s="746"/>
      <c r="Q34" s="746"/>
      <c r="R34" s="746"/>
      <c r="S34" s="746"/>
      <c r="T34" s="746"/>
      <c r="U34" s="747"/>
      <c r="V34" s="193"/>
      <c r="W34" s="193"/>
      <c r="X34" s="193"/>
    </row>
    <row r="35" spans="1:26" s="170" customFormat="1" ht="14" thickBot="1" x14ac:dyDescent="0.2">
      <c r="A35" s="300"/>
      <c r="B35" s="192"/>
      <c r="C35" s="192"/>
      <c r="D35" s="192"/>
      <c r="E35" s="192"/>
      <c r="F35" s="192"/>
      <c r="G35" s="192"/>
      <c r="H35" s="192"/>
      <c r="I35" s="192"/>
      <c r="J35" s="301"/>
      <c r="K35" s="190"/>
      <c r="L35" s="300"/>
      <c r="M35" s="192"/>
      <c r="N35" s="192"/>
      <c r="O35" s="192"/>
      <c r="P35" s="192"/>
      <c r="Q35" s="192"/>
      <c r="R35" s="192"/>
      <c r="S35" s="192"/>
      <c r="T35" s="192"/>
      <c r="U35" s="301"/>
      <c r="V35" s="193"/>
      <c r="W35" s="193"/>
      <c r="X35" s="193"/>
    </row>
    <row r="36" spans="1:26" ht="54" customHeight="1" x14ac:dyDescent="0.15">
      <c r="A36" s="265" t="str">
        <f>A15</f>
        <v>Part (i) of the primary packaging 
(please specify part)</v>
      </c>
      <c r="B36" s="279" t="str">
        <f>B15</f>
        <v>Weight of 
this part (i)
in g (Wi)</v>
      </c>
      <c r="C36" s="279" t="str">
        <f>C15</f>
        <v>thereof virgin
material in g (Ui)</v>
      </c>
      <c r="D36" s="280" t="str">
        <f>D15</f>
        <v>Recycling
figure (ri)</v>
      </c>
      <c r="E36" s="473" t="s">
        <v>984</v>
      </c>
      <c r="F36" s="473" t="s">
        <v>985</v>
      </c>
      <c r="G36" s="473" t="s">
        <v>986</v>
      </c>
      <c r="H36" s="481" t="s">
        <v>987</v>
      </c>
      <c r="I36" s="481" t="s">
        <v>988</v>
      </c>
      <c r="J36" s="267" t="s">
        <v>989</v>
      </c>
      <c r="K36" s="190"/>
      <c r="L36" s="265" t="str">
        <f>L15</f>
        <v>Part (i) of the primary packaging 
(please specify part)</v>
      </c>
      <c r="M36" s="279" t="str">
        <f>M15</f>
        <v>Weight of 
this part (i)
in g (Wi)</v>
      </c>
      <c r="N36" s="279" t="str">
        <f>N15</f>
        <v>thereof virgin
material in g (Ui)</v>
      </c>
      <c r="O36" s="280" t="str">
        <f>O15</f>
        <v>Recycling
figure (ri)</v>
      </c>
      <c r="P36" s="473" t="s">
        <v>984</v>
      </c>
      <c r="Q36" s="473" t="s">
        <v>985</v>
      </c>
      <c r="R36" s="473" t="s">
        <v>986</v>
      </c>
      <c r="S36" s="481" t="s">
        <v>987</v>
      </c>
      <c r="T36" s="481" t="s">
        <v>988</v>
      </c>
      <c r="U36" s="267" t="s">
        <v>989</v>
      </c>
      <c r="V36" s="193"/>
      <c r="W36" s="193"/>
      <c r="X36" s="193"/>
    </row>
    <row r="37" spans="1:26" ht="15" customHeight="1" x14ac:dyDescent="0.15">
      <c r="A37" s="181"/>
      <c r="B37" s="183"/>
      <c r="C37" s="183"/>
      <c r="D37" s="177"/>
      <c r="E37" s="268" t="e">
        <f>$C$34*1000/$C$7</f>
        <v>#DIV/0!</v>
      </c>
      <c r="F37" s="268" t="e">
        <f>$C$34*1000/$C$8</f>
        <v>#DIV/0!</v>
      </c>
      <c r="G37" s="268" t="e">
        <f>$C$34*1000/$C$9</f>
        <v>#DIV/0!</v>
      </c>
      <c r="H37" s="478" t="str">
        <f>IF(A37="","",((B37+C37)/(E37*D37)))</f>
        <v/>
      </c>
      <c r="I37" s="479" t="str">
        <f>IF(A37="","",((B37+C37)/(F37*D37)))</f>
        <v/>
      </c>
      <c r="J37" s="269" t="str">
        <f>IF(A37="","",((B37+C37)/(G37*D37)))</f>
        <v/>
      </c>
      <c r="K37" s="190"/>
      <c r="L37" s="181"/>
      <c r="M37" s="183"/>
      <c r="N37" s="183"/>
      <c r="O37" s="177"/>
      <c r="P37" s="268" t="e">
        <f>$N$34*1000/$C$7</f>
        <v>#DIV/0!</v>
      </c>
      <c r="Q37" s="268" t="e">
        <f>$N$34*1000/$C$8</f>
        <v>#DIV/0!</v>
      </c>
      <c r="R37" s="268" t="e">
        <f>$N$34*1000/$C$9</f>
        <v>#DIV/0!</v>
      </c>
      <c r="S37" s="478" t="str">
        <f>IF(L37="","",((M37+N37)/(P37*O37)))</f>
        <v/>
      </c>
      <c r="T37" s="479" t="str">
        <f>IF(L37="","",((M37+N37)/(Q37*O37)))</f>
        <v/>
      </c>
      <c r="U37" s="269" t="str">
        <f>IF(L37="","",((M37+N37)/(R37*O37)))</f>
        <v/>
      </c>
      <c r="V37" s="193"/>
      <c r="W37" s="193"/>
      <c r="X37" s="193"/>
    </row>
    <row r="38" spans="1:26" ht="15" customHeight="1" x14ac:dyDescent="0.15">
      <c r="A38" s="178"/>
      <c r="B38" s="183"/>
      <c r="C38" s="183"/>
      <c r="D38" s="177"/>
      <c r="E38" s="268" t="e">
        <f t="shared" ref="E38:E41" si="18">$C$34*1000/$C$7</f>
        <v>#DIV/0!</v>
      </c>
      <c r="F38" s="268" t="e">
        <f t="shared" ref="F38:F41" si="19">$C$34*1000/$C$8</f>
        <v>#DIV/0!</v>
      </c>
      <c r="G38" s="268" t="e">
        <f t="shared" ref="G38:G41" si="20">$C$34*1000/$C$9</f>
        <v>#DIV/0!</v>
      </c>
      <c r="H38" s="478" t="str">
        <f t="shared" ref="H38:H41" si="21">IF(A38="","",((B38+C38)/(E38*D38)))</f>
        <v/>
      </c>
      <c r="I38" s="479" t="str">
        <f t="shared" ref="I38:I41" si="22">IF(A38="","",((B38+C38)/(F38*D38)))</f>
        <v/>
      </c>
      <c r="J38" s="269" t="str">
        <f t="shared" ref="J38:J41" si="23">IF(A38="","",((B38+C38)/(G38*D38)))</f>
        <v/>
      </c>
      <c r="K38" s="190"/>
      <c r="L38" s="178"/>
      <c r="M38" s="183"/>
      <c r="N38" s="183"/>
      <c r="O38" s="177"/>
      <c r="P38" s="268" t="e">
        <f t="shared" ref="P38:P41" si="24">$N$34*1000/$C$7</f>
        <v>#DIV/0!</v>
      </c>
      <c r="Q38" s="268" t="e">
        <f t="shared" ref="Q38:Q41" si="25">$N$34*1000/$C$8</f>
        <v>#DIV/0!</v>
      </c>
      <c r="R38" s="268" t="e">
        <f t="shared" ref="R38:R41" si="26">$N$34*1000/$C$9</f>
        <v>#DIV/0!</v>
      </c>
      <c r="S38" s="478" t="str">
        <f t="shared" ref="S38:S41" si="27">IF(L38="","",((M38+N38)/(P38*O38)))</f>
        <v/>
      </c>
      <c r="T38" s="479" t="str">
        <f t="shared" ref="T38:T41" si="28">IF(L38="","",((M38+N38)/(Q38*O38)))</f>
        <v/>
      </c>
      <c r="U38" s="269" t="str">
        <f t="shared" ref="U38:U41" si="29">IF(L38="","",((M38+N38)/(R38*O38)))</f>
        <v/>
      </c>
      <c r="V38" s="193"/>
      <c r="W38" s="193"/>
      <c r="X38" s="193"/>
    </row>
    <row r="39" spans="1:26" ht="15" customHeight="1" x14ac:dyDescent="0.15">
      <c r="A39" s="178"/>
      <c r="B39" s="183"/>
      <c r="C39" s="183"/>
      <c r="D39" s="177"/>
      <c r="E39" s="268" t="e">
        <f t="shared" si="18"/>
        <v>#DIV/0!</v>
      </c>
      <c r="F39" s="268" t="e">
        <f t="shared" si="19"/>
        <v>#DIV/0!</v>
      </c>
      <c r="G39" s="268" t="e">
        <f t="shared" si="20"/>
        <v>#DIV/0!</v>
      </c>
      <c r="H39" s="478" t="str">
        <f t="shared" si="21"/>
        <v/>
      </c>
      <c r="I39" s="479" t="str">
        <f t="shared" si="22"/>
        <v/>
      </c>
      <c r="J39" s="269" t="str">
        <f t="shared" si="23"/>
        <v/>
      </c>
      <c r="K39" s="190"/>
      <c r="L39" s="178"/>
      <c r="M39" s="183"/>
      <c r="N39" s="183"/>
      <c r="O39" s="177"/>
      <c r="P39" s="268" t="e">
        <f t="shared" si="24"/>
        <v>#DIV/0!</v>
      </c>
      <c r="Q39" s="268" t="e">
        <f t="shared" si="25"/>
        <v>#DIV/0!</v>
      </c>
      <c r="R39" s="268" t="e">
        <f t="shared" si="26"/>
        <v>#DIV/0!</v>
      </c>
      <c r="S39" s="478" t="str">
        <f t="shared" si="27"/>
        <v/>
      </c>
      <c r="T39" s="479" t="str">
        <f t="shared" si="28"/>
        <v/>
      </c>
      <c r="U39" s="269" t="str">
        <f t="shared" si="29"/>
        <v/>
      </c>
      <c r="V39" s="193"/>
      <c r="W39" s="193"/>
      <c r="X39" s="193"/>
    </row>
    <row r="40" spans="1:26" ht="15" customHeight="1" x14ac:dyDescent="0.15">
      <c r="A40" s="178"/>
      <c r="B40" s="183"/>
      <c r="C40" s="183"/>
      <c r="D40" s="177"/>
      <c r="E40" s="268" t="e">
        <f t="shared" si="18"/>
        <v>#DIV/0!</v>
      </c>
      <c r="F40" s="268" t="e">
        <f t="shared" si="19"/>
        <v>#DIV/0!</v>
      </c>
      <c r="G40" s="268" t="e">
        <f t="shared" si="20"/>
        <v>#DIV/0!</v>
      </c>
      <c r="H40" s="478" t="str">
        <f t="shared" si="21"/>
        <v/>
      </c>
      <c r="I40" s="479" t="str">
        <f t="shared" si="22"/>
        <v/>
      </c>
      <c r="J40" s="269" t="str">
        <f t="shared" si="23"/>
        <v/>
      </c>
      <c r="K40" s="190"/>
      <c r="L40" s="178"/>
      <c r="M40" s="183"/>
      <c r="N40" s="183"/>
      <c r="O40" s="177"/>
      <c r="P40" s="268" t="e">
        <f t="shared" si="24"/>
        <v>#DIV/0!</v>
      </c>
      <c r="Q40" s="268" t="e">
        <f t="shared" si="25"/>
        <v>#DIV/0!</v>
      </c>
      <c r="R40" s="268" t="e">
        <f t="shared" si="26"/>
        <v>#DIV/0!</v>
      </c>
      <c r="S40" s="478" t="str">
        <f t="shared" si="27"/>
        <v/>
      </c>
      <c r="T40" s="479" t="str">
        <f t="shared" si="28"/>
        <v/>
      </c>
      <c r="U40" s="269" t="str">
        <f t="shared" si="29"/>
        <v/>
      </c>
      <c r="V40" s="193"/>
      <c r="W40" s="193"/>
      <c r="X40" s="193"/>
    </row>
    <row r="41" spans="1:26" ht="15" customHeight="1" thickBot="1" x14ac:dyDescent="0.2">
      <c r="A41" s="179"/>
      <c r="B41" s="184"/>
      <c r="C41" s="184"/>
      <c r="D41" s="180"/>
      <c r="E41" s="270" t="e">
        <f t="shared" si="18"/>
        <v>#DIV/0!</v>
      </c>
      <c r="F41" s="270" t="e">
        <f t="shared" si="19"/>
        <v>#DIV/0!</v>
      </c>
      <c r="G41" s="270" t="e">
        <f t="shared" si="20"/>
        <v>#DIV/0!</v>
      </c>
      <c r="H41" s="482" t="str">
        <f t="shared" si="21"/>
        <v/>
      </c>
      <c r="I41" s="483" t="str">
        <f t="shared" si="22"/>
        <v/>
      </c>
      <c r="J41" s="271" t="str">
        <f t="shared" si="23"/>
        <v/>
      </c>
      <c r="K41" s="190"/>
      <c r="L41" s="179"/>
      <c r="M41" s="184"/>
      <c r="N41" s="184"/>
      <c r="O41" s="180"/>
      <c r="P41" s="270" t="e">
        <f t="shared" si="24"/>
        <v>#DIV/0!</v>
      </c>
      <c r="Q41" s="270" t="e">
        <f t="shared" si="25"/>
        <v>#DIV/0!</v>
      </c>
      <c r="R41" s="270" t="e">
        <f t="shared" si="26"/>
        <v>#DIV/0!</v>
      </c>
      <c r="S41" s="482" t="str">
        <f t="shared" si="27"/>
        <v/>
      </c>
      <c r="T41" s="483" t="str">
        <f t="shared" si="28"/>
        <v/>
      </c>
      <c r="U41" s="271" t="str">
        <f t="shared" si="29"/>
        <v/>
      </c>
      <c r="V41" s="193"/>
      <c r="W41" s="193"/>
      <c r="X41" s="193"/>
    </row>
    <row r="42" spans="1:26" ht="17.25" customHeight="1" x14ac:dyDescent="0.15">
      <c r="A42" s="300"/>
      <c r="B42" s="192"/>
      <c r="C42" s="272" t="str">
        <f>C21</f>
        <v>Sum:</v>
      </c>
      <c r="D42" s="490" t="str">
        <f>D21</f>
        <v>=WUR</v>
      </c>
      <c r="E42" s="474"/>
      <c r="F42" s="474"/>
      <c r="G42" s="474"/>
      <c r="H42" s="480">
        <f t="shared" ref="H42" si="30">SUM(H37:H41)</f>
        <v>0</v>
      </c>
      <c r="I42" s="480">
        <f t="shared" ref="I42" si="31">SUM(I37:I41)</f>
        <v>0</v>
      </c>
      <c r="J42" s="480">
        <f>SUM(J37:J41)</f>
        <v>0</v>
      </c>
      <c r="K42" s="190"/>
      <c r="L42" s="300"/>
      <c r="M42" s="192"/>
      <c r="N42" s="272" t="str">
        <f>C42</f>
        <v>Sum:</v>
      </c>
      <c r="O42" s="273" t="str">
        <f>D42</f>
        <v>=WUR</v>
      </c>
      <c r="P42" s="474"/>
      <c r="Q42" s="474"/>
      <c r="R42" s="474"/>
      <c r="S42" s="480">
        <f t="shared" ref="S42" si="32">SUM(S37:S41)</f>
        <v>0</v>
      </c>
      <c r="T42" s="480">
        <f t="shared" ref="T42" si="33">SUM(T37:T41)</f>
        <v>0</v>
      </c>
      <c r="U42" s="488">
        <f>SUM(U37:U41)</f>
        <v>0</v>
      </c>
      <c r="V42" s="193"/>
      <c r="W42" s="193"/>
      <c r="X42" s="193"/>
    </row>
    <row r="43" spans="1:26" ht="21.75" customHeight="1" x14ac:dyDescent="0.15">
      <c r="A43" s="765"/>
      <c r="B43" s="766"/>
      <c r="C43" s="766"/>
      <c r="D43" s="465" t="str">
        <f>D22</f>
        <v>Limit</v>
      </c>
      <c r="E43" s="471"/>
      <c r="F43" s="471"/>
      <c r="G43" s="471"/>
      <c r="H43" s="484" t="str">
        <f>H22</f>
        <v xml:space="preserve"> </v>
      </c>
      <c r="I43" s="485" t="str">
        <f>I22</f>
        <v xml:space="preserve"> </v>
      </c>
      <c r="J43" s="486" t="str">
        <f>J22</f>
        <v xml:space="preserve"> </v>
      </c>
      <c r="K43" s="190"/>
      <c r="L43" s="765"/>
      <c r="M43" s="766"/>
      <c r="N43" s="766"/>
      <c r="O43" s="465" t="str">
        <f>D43</f>
        <v>Limit</v>
      </c>
      <c r="P43" s="192"/>
      <c r="Q43" s="192"/>
      <c r="R43" s="192"/>
      <c r="S43" s="475" t="str">
        <f>H43</f>
        <v xml:space="preserve"> </v>
      </c>
      <c r="T43" s="475" t="str">
        <f t="shared" ref="T43" si="34">I43</f>
        <v xml:space="preserve"> </v>
      </c>
      <c r="U43" s="489" t="str">
        <f t="shared" ref="U43" si="35">J43</f>
        <v xml:space="preserve"> </v>
      </c>
      <c r="V43" s="193"/>
      <c r="W43" s="193"/>
      <c r="X43" s="193"/>
    </row>
    <row r="44" spans="1:26" ht="25.5" customHeight="1" thickBot="1" x14ac:dyDescent="0.2">
      <c r="A44" s="741" t="str">
        <f>A23</f>
        <v>Recycled materials in primary packaging:</v>
      </c>
      <c r="B44" s="742"/>
      <c r="C44" s="274" t="str">
        <f>IF(C34="","",(SUM(B37:B41)-SUM(C37:C41))/SUM(B37:B41))</f>
        <v/>
      </c>
      <c r="D44" s="472" t="str">
        <f>D23</f>
        <v>Result</v>
      </c>
      <c r="E44" s="192"/>
      <c r="F44" s="192"/>
      <c r="G44" s="192"/>
      <c r="H44" s="472" t="str">
        <f>IF(OR(H42&lt;=H43,C44&gt;0.8),"ok","not ok")</f>
        <v>ok</v>
      </c>
      <c r="I44" s="472" t="str">
        <f>IF(OR(I42&lt;=I43,C44&gt;0.8),"ok","not ok")</f>
        <v>ok</v>
      </c>
      <c r="J44" s="472" t="str">
        <f>IF(OR(J42&lt;=J43,C44&gt;0.8),"ok","not ok")</f>
        <v>ok</v>
      </c>
      <c r="K44" s="190"/>
      <c r="L44" s="741" t="str">
        <f>A23</f>
        <v>Recycled materials in primary packaging:</v>
      </c>
      <c r="M44" s="742"/>
      <c r="N44" s="274" t="str">
        <f>IF(N34="","",(SUM(M37:M41)-SUM(N37:N41))/SUM(M37:M41))</f>
        <v/>
      </c>
      <c r="O44" s="472" t="str">
        <f>D44</f>
        <v>Result</v>
      </c>
      <c r="P44" s="192"/>
      <c r="Q44" s="192"/>
      <c r="R44" s="487"/>
      <c r="S44" s="472" t="str">
        <f>IF(OR(S42&lt;=S43,N44&gt;0.8),"ok","not ok")</f>
        <v>ok</v>
      </c>
      <c r="T44" s="472" t="str">
        <f>IF(OR(T42&lt;=T43,N44&gt;0.8),"ok","not ok")</f>
        <v>ok</v>
      </c>
      <c r="U44" s="302" t="str">
        <f>IF(OR(U42&lt;=U43,N44&gt;0.8),"ok","not ok")</f>
        <v>ok</v>
      </c>
      <c r="V44" s="193"/>
      <c r="W44" s="193"/>
      <c r="X44" s="193"/>
    </row>
    <row r="45" spans="1:26" ht="17" thickTop="1" x14ac:dyDescent="0.2">
      <c r="A45" s="306"/>
      <c r="B45" s="189"/>
      <c r="C45" s="189"/>
      <c r="D45" s="189"/>
      <c r="E45" s="189"/>
      <c r="F45" s="189"/>
      <c r="G45" s="189"/>
      <c r="H45" s="189"/>
      <c r="I45" s="189"/>
      <c r="J45" s="307"/>
      <c r="K45" s="190"/>
      <c r="L45" s="306"/>
      <c r="M45" s="189"/>
      <c r="N45" s="189"/>
      <c r="O45" s="189"/>
      <c r="P45" s="189"/>
      <c r="Q45" s="189"/>
      <c r="R45" s="189"/>
      <c r="S45" s="189"/>
      <c r="T45" s="189"/>
      <c r="U45" s="307"/>
      <c r="V45" s="189"/>
      <c r="W45" s="189"/>
      <c r="X45" s="189"/>
    </row>
    <row r="46" spans="1:26" s="7" customFormat="1" ht="28.5" customHeight="1" x14ac:dyDescent="0.2">
      <c r="A46" s="773" t="str">
        <f>A26</f>
        <v>Part of the packaging
(excempted: Pump mechanisms (including in sprays)</v>
      </c>
      <c r="B46" s="774"/>
      <c r="C46" s="774"/>
      <c r="D46" s="18"/>
      <c r="E46" s="18"/>
      <c r="F46" s="18"/>
      <c r="G46" s="18"/>
      <c r="H46" s="18"/>
      <c r="I46" s="18"/>
      <c r="J46" s="305"/>
      <c r="K46" s="18"/>
      <c r="L46" s="773" t="str">
        <f>A26</f>
        <v>Part of the packaging
(excempted: Pump mechanisms (including in sprays)</v>
      </c>
      <c r="M46" s="774"/>
      <c r="N46" s="774"/>
      <c r="O46" s="18"/>
      <c r="P46" s="18"/>
      <c r="Q46" s="18"/>
      <c r="R46" s="18"/>
      <c r="S46" s="18"/>
      <c r="T46" s="18"/>
      <c r="U46" s="305"/>
      <c r="V46" s="54"/>
      <c r="W46" s="54"/>
      <c r="X46" s="54"/>
      <c r="Y46" s="8"/>
      <c r="Z46" s="8"/>
    </row>
    <row r="47" spans="1:26" s="7" customFormat="1" ht="15" customHeight="1" x14ac:dyDescent="0.2">
      <c r="A47" s="773" t="str">
        <f t="shared" ref="A47:A50" si="36">A27</f>
        <v>Material Container/Bottle</v>
      </c>
      <c r="B47" s="774"/>
      <c r="C47" s="774"/>
      <c r="D47" s="767"/>
      <c r="E47" s="767"/>
      <c r="F47" s="767"/>
      <c r="G47" s="767"/>
      <c r="H47" s="767"/>
      <c r="I47" s="768"/>
      <c r="J47" s="769"/>
      <c r="K47" s="18"/>
      <c r="L47" s="773" t="str">
        <f t="shared" ref="L47:L50" si="37">A27</f>
        <v>Material Container/Bottle</v>
      </c>
      <c r="M47" s="774"/>
      <c r="N47" s="774"/>
      <c r="O47" s="767"/>
      <c r="P47" s="767"/>
      <c r="Q47" s="768"/>
      <c r="R47" s="768"/>
      <c r="S47" s="768"/>
      <c r="T47" s="768"/>
      <c r="U47" s="769"/>
      <c r="V47" s="54"/>
      <c r="W47" s="54"/>
      <c r="X47" s="54"/>
      <c r="Y47" s="8"/>
      <c r="Z47" s="8"/>
    </row>
    <row r="48" spans="1:26" s="7" customFormat="1" ht="15" customHeight="1" x14ac:dyDescent="0.2">
      <c r="A48" s="773" t="str">
        <f t="shared" si="36"/>
        <v>Material Label</v>
      </c>
      <c r="B48" s="774"/>
      <c r="C48" s="774"/>
      <c r="D48" s="767"/>
      <c r="E48" s="767"/>
      <c r="F48" s="767"/>
      <c r="G48" s="767"/>
      <c r="H48" s="767"/>
      <c r="I48" s="768"/>
      <c r="J48" s="769"/>
      <c r="K48" s="18"/>
      <c r="L48" s="773" t="str">
        <f t="shared" si="37"/>
        <v>Material Label</v>
      </c>
      <c r="M48" s="774"/>
      <c r="N48" s="774"/>
      <c r="O48" s="767"/>
      <c r="P48" s="767"/>
      <c r="Q48" s="768"/>
      <c r="R48" s="768"/>
      <c r="S48" s="768"/>
      <c r="T48" s="768"/>
      <c r="U48" s="769"/>
      <c r="V48" s="54"/>
      <c r="W48" s="54"/>
      <c r="X48" s="54"/>
      <c r="Y48" s="8"/>
      <c r="Z48" s="8"/>
    </row>
    <row r="49" spans="1:26" s="7" customFormat="1" ht="15" customHeight="1" x14ac:dyDescent="0.2">
      <c r="A49" s="773" t="str">
        <f t="shared" si="36"/>
        <v>Material Closure</v>
      </c>
      <c r="B49" s="774"/>
      <c r="C49" s="774"/>
      <c r="D49" s="767"/>
      <c r="E49" s="767"/>
      <c r="F49" s="767"/>
      <c r="G49" s="767"/>
      <c r="H49" s="767"/>
      <c r="I49" s="768"/>
      <c r="J49" s="769"/>
      <c r="K49" s="18"/>
      <c r="L49" s="773" t="str">
        <f t="shared" si="37"/>
        <v>Material Closure</v>
      </c>
      <c r="M49" s="774"/>
      <c r="N49" s="774"/>
      <c r="O49" s="767"/>
      <c r="P49" s="767"/>
      <c r="Q49" s="768"/>
      <c r="R49" s="768"/>
      <c r="S49" s="768"/>
      <c r="T49" s="768"/>
      <c r="U49" s="769"/>
      <c r="V49" s="54"/>
      <c r="W49" s="54"/>
      <c r="X49" s="54"/>
      <c r="Y49" s="8"/>
      <c r="Z49" s="8"/>
    </row>
    <row r="50" spans="1:26" s="7" customFormat="1" ht="15" customHeight="1" thickBot="1" x14ac:dyDescent="0.25">
      <c r="A50" s="779" t="str">
        <f t="shared" si="36"/>
        <v>Material Barriere Coating</v>
      </c>
      <c r="B50" s="780"/>
      <c r="C50" s="780"/>
      <c r="D50" s="770"/>
      <c r="E50" s="770"/>
      <c r="F50" s="770"/>
      <c r="G50" s="770"/>
      <c r="H50" s="770"/>
      <c r="I50" s="771"/>
      <c r="J50" s="772"/>
      <c r="K50" s="18"/>
      <c r="L50" s="779" t="str">
        <f t="shared" si="37"/>
        <v>Material Barriere Coating</v>
      </c>
      <c r="M50" s="780"/>
      <c r="N50" s="780"/>
      <c r="O50" s="770"/>
      <c r="P50" s="770"/>
      <c r="Q50" s="771"/>
      <c r="R50" s="771"/>
      <c r="S50" s="771"/>
      <c r="T50" s="771"/>
      <c r="U50" s="772"/>
      <c r="V50" s="54"/>
      <c r="W50" s="54"/>
      <c r="X50" s="54"/>
      <c r="Y50" s="8"/>
      <c r="Z50" s="8"/>
    </row>
    <row r="51" spans="1:26" ht="16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90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</row>
    <row r="52" spans="1:26" ht="34.5" customHeight="1" x14ac:dyDescent="0.2">
      <c r="A52" s="760" t="str">
        <f>'Formulation Pre-Products'!B67</f>
        <v>remarks of the applicant</v>
      </c>
      <c r="B52" s="761"/>
      <c r="C52" s="761"/>
      <c r="D52" s="761"/>
      <c r="E52" s="761"/>
      <c r="F52" s="761"/>
      <c r="G52" s="761"/>
      <c r="H52" s="761"/>
      <c r="I52" s="761"/>
      <c r="J52" s="761"/>
      <c r="K52" s="761"/>
      <c r="L52" s="761"/>
      <c r="M52" s="761"/>
      <c r="N52" s="761"/>
      <c r="O52" s="761"/>
      <c r="P52" s="761"/>
      <c r="Q52" s="761"/>
      <c r="R52" s="761"/>
      <c r="S52" s="761"/>
      <c r="T52" s="761"/>
      <c r="U52" s="762"/>
      <c r="V52" s="189"/>
      <c r="W52" s="189"/>
      <c r="X52" s="189"/>
    </row>
    <row r="53" spans="1:26" ht="16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90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</row>
    <row r="54" spans="1:26" ht="16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90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</row>
    <row r="55" spans="1:26" ht="16" x14ac:dyDescent="0.2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90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</row>
    <row r="56" spans="1:26" ht="16" x14ac:dyDescent="0.2">
      <c r="A56" s="189"/>
      <c r="B56" s="189"/>
      <c r="C56" s="189"/>
      <c r="D56" s="189"/>
      <c r="E56" s="189"/>
      <c r="F56" s="189"/>
      <c r="G56" s="189"/>
      <c r="H56" s="189"/>
      <c r="I56" s="189"/>
      <c r="J56" s="189"/>
      <c r="K56" s="190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</row>
    <row r="57" spans="1:26" ht="16" x14ac:dyDescent="0.2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90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</row>
    <row r="58" spans="1:26" ht="16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90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</row>
    <row r="59" spans="1:26" ht="16" x14ac:dyDescent="0.2">
      <c r="A59" s="189"/>
      <c r="B59" s="189"/>
      <c r="C59" s="189"/>
      <c r="D59" s="189"/>
      <c r="E59" s="189"/>
      <c r="F59" s="189"/>
      <c r="G59" s="189"/>
      <c r="H59" s="189"/>
      <c r="I59" s="189"/>
      <c r="J59" s="189"/>
      <c r="K59" s="190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</row>
    <row r="60" spans="1:26" ht="16" x14ac:dyDescent="0.2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90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</row>
    <row r="61" spans="1:26" ht="16" x14ac:dyDescent="0.2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90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</row>
    <row r="62" spans="1:26" ht="16" x14ac:dyDescent="0.2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90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</row>
    <row r="63" spans="1:26" ht="16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1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</row>
    <row r="64" spans="1:26" ht="16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1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</row>
    <row r="65" spans="1:24" ht="16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1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</row>
    <row r="66" spans="1:24" ht="16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</row>
    <row r="67" spans="1:24" ht="16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</row>
    <row r="68" spans="1:24" ht="16" x14ac:dyDescent="0.2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</row>
    <row r="69" spans="1:24" ht="16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</row>
    <row r="70" spans="1:24" ht="16" x14ac:dyDescent="0.2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</row>
    <row r="71" spans="1:24" ht="16" x14ac:dyDescent="0.2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</row>
    <row r="72" spans="1:24" ht="16" x14ac:dyDescent="0.2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</row>
    <row r="73" spans="1:24" ht="16" x14ac:dyDescent="0.2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</row>
    <row r="74" spans="1:24" ht="16" x14ac:dyDescent="0.2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</row>
    <row r="75" spans="1:24" ht="16" x14ac:dyDescent="0.2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</row>
    <row r="76" spans="1:24" ht="16" x14ac:dyDescent="0.2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</row>
    <row r="77" spans="1:24" ht="16" x14ac:dyDescent="0.2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</row>
    <row r="78" spans="1:24" ht="16" x14ac:dyDescent="0.2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</row>
    <row r="79" spans="1:24" ht="16" x14ac:dyDescent="0.2"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</row>
    <row r="80" spans="1:24" ht="16" x14ac:dyDescent="0.2"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</row>
    <row r="81" spans="12:24" ht="16" x14ac:dyDescent="0.2"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</row>
    <row r="82" spans="12:24" ht="16" x14ac:dyDescent="0.2"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</row>
    <row r="83" spans="12:24" x14ac:dyDescent="0.15">
      <c r="U83" s="174"/>
      <c r="V83" s="174"/>
      <c r="W83" s="174"/>
      <c r="X83" s="174"/>
    </row>
    <row r="84" spans="12:24" x14ac:dyDescent="0.15">
      <c r="U84" s="174"/>
      <c r="V84" s="174"/>
      <c r="W84" s="174"/>
      <c r="X84" s="174"/>
    </row>
    <row r="85" spans="12:24" x14ac:dyDescent="0.15">
      <c r="U85" s="174"/>
      <c r="V85" s="174"/>
      <c r="W85" s="174"/>
      <c r="X85" s="174"/>
    </row>
    <row r="86" spans="12:24" x14ac:dyDescent="0.15">
      <c r="U86" s="174"/>
      <c r="V86" s="174"/>
      <c r="W86" s="174"/>
      <c r="X86" s="174"/>
    </row>
    <row r="87" spans="12:24" x14ac:dyDescent="0.15">
      <c r="U87" s="174"/>
      <c r="V87" s="174"/>
      <c r="W87" s="174"/>
      <c r="X87" s="174"/>
    </row>
    <row r="88" spans="12:24" x14ac:dyDescent="0.15">
      <c r="U88" s="174"/>
      <c r="V88" s="174"/>
      <c r="W88" s="174"/>
      <c r="X88" s="174"/>
    </row>
    <row r="89" spans="12:24" x14ac:dyDescent="0.15">
      <c r="U89" s="174"/>
      <c r="V89" s="174"/>
      <c r="W89" s="174"/>
      <c r="X89" s="174"/>
    </row>
    <row r="90" spans="12:24" x14ac:dyDescent="0.15">
      <c r="U90" s="174"/>
      <c r="V90" s="174"/>
      <c r="W90" s="174"/>
      <c r="X90" s="174"/>
    </row>
    <row r="91" spans="12:24" x14ac:dyDescent="0.15">
      <c r="U91" s="174"/>
      <c r="V91" s="174"/>
      <c r="W91" s="174"/>
      <c r="X91" s="174"/>
    </row>
    <row r="92" spans="12:24" x14ac:dyDescent="0.15">
      <c r="U92" s="174"/>
      <c r="V92" s="174"/>
      <c r="W92" s="174"/>
      <c r="X92" s="174"/>
    </row>
    <row r="93" spans="12:24" x14ac:dyDescent="0.15">
      <c r="U93" s="174"/>
      <c r="V93" s="174"/>
      <c r="W93" s="174"/>
      <c r="X93" s="174"/>
    </row>
    <row r="94" spans="12:24" x14ac:dyDescent="0.15">
      <c r="U94" s="174"/>
      <c r="V94" s="174"/>
      <c r="W94" s="174"/>
      <c r="X94" s="174"/>
    </row>
    <row r="95" spans="12:24" x14ac:dyDescent="0.15">
      <c r="U95" s="174"/>
      <c r="V95" s="174"/>
      <c r="W95" s="174"/>
      <c r="X95" s="174"/>
    </row>
    <row r="96" spans="12:24" x14ac:dyDescent="0.15">
      <c r="U96" s="174"/>
      <c r="V96" s="174"/>
      <c r="W96" s="174"/>
      <c r="X96" s="174"/>
    </row>
    <row r="97" spans="21:24" x14ac:dyDescent="0.15">
      <c r="U97" s="174"/>
      <c r="V97" s="174"/>
      <c r="W97" s="174"/>
      <c r="X97" s="174"/>
    </row>
    <row r="98" spans="21:24" x14ac:dyDescent="0.15">
      <c r="U98" s="174"/>
      <c r="V98" s="174"/>
      <c r="W98" s="174"/>
      <c r="X98" s="174"/>
    </row>
    <row r="99" spans="21:24" x14ac:dyDescent="0.15">
      <c r="U99" s="174"/>
      <c r="V99" s="174"/>
      <c r="W99" s="174"/>
      <c r="X99" s="174"/>
    </row>
    <row r="100" spans="21:24" x14ac:dyDescent="0.15">
      <c r="U100" s="174"/>
      <c r="V100" s="174"/>
      <c r="W100" s="174"/>
      <c r="X100" s="174"/>
    </row>
    <row r="101" spans="21:24" x14ac:dyDescent="0.15">
      <c r="U101" s="174"/>
      <c r="V101" s="174"/>
      <c r="W101" s="174"/>
      <c r="X101" s="174"/>
    </row>
    <row r="102" spans="21:24" x14ac:dyDescent="0.15">
      <c r="U102" s="174"/>
      <c r="V102" s="174"/>
      <c r="W102" s="174"/>
      <c r="X102" s="174"/>
    </row>
    <row r="103" spans="21:24" x14ac:dyDescent="0.15">
      <c r="U103" s="174"/>
      <c r="V103" s="174"/>
      <c r="W103" s="174"/>
      <c r="X103" s="174"/>
    </row>
    <row r="104" spans="21:24" x14ac:dyDescent="0.15">
      <c r="U104" s="174"/>
      <c r="V104" s="174"/>
      <c r="W104" s="174"/>
      <c r="X104" s="174"/>
    </row>
    <row r="105" spans="21:24" x14ac:dyDescent="0.15">
      <c r="U105" s="174"/>
      <c r="V105" s="174"/>
      <c r="W105" s="174"/>
      <c r="X105" s="174"/>
    </row>
    <row r="106" spans="21:24" x14ac:dyDescent="0.15">
      <c r="U106" s="174"/>
      <c r="V106" s="174"/>
      <c r="W106" s="174"/>
      <c r="X106" s="174"/>
    </row>
    <row r="107" spans="21:24" x14ac:dyDescent="0.15">
      <c r="U107" s="174"/>
      <c r="V107" s="174"/>
      <c r="W107" s="174"/>
      <c r="X107" s="174"/>
    </row>
    <row r="108" spans="21:24" x14ac:dyDescent="0.15">
      <c r="U108" s="174"/>
      <c r="V108" s="174"/>
      <c r="W108" s="174"/>
      <c r="X108" s="174"/>
    </row>
    <row r="109" spans="21:24" x14ac:dyDescent="0.15">
      <c r="U109" s="174"/>
      <c r="V109" s="174"/>
      <c r="W109" s="174"/>
      <c r="X109" s="174"/>
    </row>
    <row r="110" spans="21:24" x14ac:dyDescent="0.15">
      <c r="U110" s="174"/>
      <c r="V110" s="174"/>
      <c r="W110" s="174"/>
      <c r="X110" s="174"/>
    </row>
    <row r="111" spans="21:24" x14ac:dyDescent="0.15">
      <c r="U111" s="174"/>
      <c r="V111" s="174"/>
      <c r="W111" s="174"/>
      <c r="X111" s="174"/>
    </row>
    <row r="112" spans="21:24" x14ac:dyDescent="0.15">
      <c r="U112" s="174"/>
      <c r="V112" s="174"/>
      <c r="W112" s="174"/>
      <c r="X112" s="174"/>
    </row>
    <row r="113" spans="21:24" x14ac:dyDescent="0.15">
      <c r="U113" s="174"/>
      <c r="V113" s="174"/>
      <c r="W113" s="174"/>
      <c r="X113" s="174"/>
    </row>
    <row r="114" spans="21:24" x14ac:dyDescent="0.15">
      <c r="U114" s="174"/>
      <c r="V114" s="174"/>
      <c r="W114" s="174"/>
      <c r="X114" s="174"/>
    </row>
    <row r="115" spans="21:24" x14ac:dyDescent="0.15">
      <c r="U115" s="174"/>
      <c r="V115" s="174"/>
      <c r="W115" s="174"/>
      <c r="X115" s="174"/>
    </row>
    <row r="116" spans="21:24" x14ac:dyDescent="0.15">
      <c r="U116" s="174"/>
      <c r="V116" s="174"/>
      <c r="W116" s="174"/>
      <c r="X116" s="174"/>
    </row>
    <row r="117" spans="21:24" x14ac:dyDescent="0.15">
      <c r="U117" s="174"/>
      <c r="V117" s="174"/>
      <c r="W117" s="174"/>
      <c r="X117" s="174"/>
    </row>
    <row r="118" spans="21:24" x14ac:dyDescent="0.15">
      <c r="U118" s="174"/>
      <c r="V118" s="174"/>
      <c r="W118" s="174"/>
      <c r="X118" s="174"/>
    </row>
    <row r="119" spans="21:24" x14ac:dyDescent="0.15">
      <c r="U119" s="174"/>
      <c r="V119" s="174"/>
      <c r="W119" s="174"/>
      <c r="X119" s="174"/>
    </row>
    <row r="120" spans="21:24" x14ac:dyDescent="0.15">
      <c r="U120" s="174"/>
      <c r="V120" s="174"/>
      <c r="W120" s="174"/>
      <c r="X120" s="174"/>
    </row>
    <row r="121" spans="21:24" x14ac:dyDescent="0.15">
      <c r="U121" s="174"/>
      <c r="V121" s="174"/>
      <c r="W121" s="174"/>
      <c r="X121" s="174"/>
    </row>
    <row r="122" spans="21:24" x14ac:dyDescent="0.15">
      <c r="U122" s="174"/>
      <c r="V122" s="174"/>
      <c r="W122" s="174"/>
      <c r="X122" s="174"/>
    </row>
    <row r="123" spans="21:24" x14ac:dyDescent="0.15">
      <c r="U123" s="174"/>
      <c r="V123" s="174"/>
      <c r="W123" s="174"/>
      <c r="X123" s="174"/>
    </row>
    <row r="124" spans="21:24" x14ac:dyDescent="0.15">
      <c r="U124" s="174"/>
      <c r="V124" s="174"/>
      <c r="W124" s="174"/>
      <c r="X124" s="174"/>
    </row>
    <row r="125" spans="21:24" x14ac:dyDescent="0.15">
      <c r="U125" s="174"/>
      <c r="V125" s="174"/>
      <c r="W125" s="174"/>
      <c r="X125" s="174"/>
    </row>
    <row r="126" spans="21:24" x14ac:dyDescent="0.15">
      <c r="U126" s="174"/>
      <c r="V126" s="174"/>
      <c r="W126" s="174"/>
      <c r="X126" s="174"/>
    </row>
    <row r="127" spans="21:24" x14ac:dyDescent="0.15">
      <c r="U127" s="174"/>
      <c r="V127" s="174"/>
      <c r="W127" s="174"/>
      <c r="X127" s="174"/>
    </row>
    <row r="128" spans="21:24" x14ac:dyDescent="0.15">
      <c r="U128" s="174"/>
      <c r="V128" s="174"/>
      <c r="W128" s="174"/>
      <c r="X128" s="174"/>
    </row>
    <row r="129" spans="21:24" x14ac:dyDescent="0.15">
      <c r="U129" s="174"/>
      <c r="V129" s="174"/>
      <c r="W129" s="174"/>
      <c r="X129" s="174"/>
    </row>
    <row r="130" spans="21:24" x14ac:dyDescent="0.15">
      <c r="U130" s="174"/>
      <c r="V130" s="174"/>
      <c r="W130" s="174"/>
      <c r="X130" s="174"/>
    </row>
    <row r="131" spans="21:24" x14ac:dyDescent="0.15">
      <c r="U131" s="174"/>
      <c r="V131" s="174"/>
      <c r="W131" s="174"/>
      <c r="X131" s="174"/>
    </row>
    <row r="132" spans="21:24" x14ac:dyDescent="0.15">
      <c r="U132" s="174"/>
      <c r="V132" s="174"/>
      <c r="W132" s="174"/>
      <c r="X132" s="174"/>
    </row>
    <row r="133" spans="21:24" x14ac:dyDescent="0.15">
      <c r="U133" s="174"/>
      <c r="V133" s="174"/>
      <c r="W133" s="174"/>
      <c r="X133" s="174"/>
    </row>
    <row r="134" spans="21:24" x14ac:dyDescent="0.15">
      <c r="U134" s="174"/>
      <c r="V134" s="174"/>
      <c r="W134" s="174"/>
      <c r="X134" s="174"/>
    </row>
    <row r="135" spans="21:24" x14ac:dyDescent="0.15">
      <c r="U135" s="174"/>
      <c r="V135" s="174"/>
      <c r="W135" s="174"/>
      <c r="X135" s="174"/>
    </row>
    <row r="136" spans="21:24" x14ac:dyDescent="0.15">
      <c r="U136" s="174"/>
      <c r="V136" s="174"/>
      <c r="W136" s="174"/>
      <c r="X136" s="174"/>
    </row>
    <row r="137" spans="21:24" x14ac:dyDescent="0.15">
      <c r="U137" s="174"/>
      <c r="V137" s="174"/>
      <c r="W137" s="174"/>
      <c r="X137" s="174"/>
    </row>
    <row r="138" spans="21:24" x14ac:dyDescent="0.15">
      <c r="U138" s="174"/>
      <c r="V138" s="174"/>
      <c r="W138" s="174"/>
      <c r="X138" s="174"/>
    </row>
    <row r="139" spans="21:24" x14ac:dyDescent="0.15">
      <c r="U139" s="174"/>
      <c r="V139" s="174"/>
      <c r="W139" s="174"/>
      <c r="X139" s="174"/>
    </row>
    <row r="140" spans="21:24" x14ac:dyDescent="0.15">
      <c r="U140" s="174"/>
      <c r="V140" s="174"/>
      <c r="W140" s="174"/>
      <c r="X140" s="174"/>
    </row>
    <row r="141" spans="21:24" x14ac:dyDescent="0.15">
      <c r="U141" s="174"/>
      <c r="V141" s="174"/>
      <c r="W141" s="174"/>
      <c r="X141" s="174"/>
    </row>
    <row r="142" spans="21:24" x14ac:dyDescent="0.15">
      <c r="U142" s="174"/>
      <c r="V142" s="174"/>
      <c r="W142" s="174"/>
      <c r="X142" s="174"/>
    </row>
    <row r="143" spans="21:24" x14ac:dyDescent="0.15">
      <c r="U143" s="174"/>
      <c r="V143" s="174"/>
      <c r="W143" s="174"/>
      <c r="X143" s="174"/>
    </row>
    <row r="144" spans="21:24" x14ac:dyDescent="0.15">
      <c r="U144" s="174"/>
      <c r="V144" s="174"/>
      <c r="W144" s="174"/>
      <c r="X144" s="174"/>
    </row>
    <row r="145" spans="21:24" x14ac:dyDescent="0.15">
      <c r="U145" s="174"/>
      <c r="V145" s="174"/>
      <c r="W145" s="174"/>
      <c r="X145" s="174"/>
    </row>
    <row r="146" spans="21:24" x14ac:dyDescent="0.15">
      <c r="U146" s="174"/>
      <c r="V146" s="174"/>
      <c r="W146" s="174"/>
      <c r="X146" s="174"/>
    </row>
    <row r="147" spans="21:24" x14ac:dyDescent="0.15">
      <c r="U147" s="174"/>
      <c r="V147" s="174"/>
      <c r="W147" s="174"/>
      <c r="X147" s="174"/>
    </row>
    <row r="148" spans="21:24" x14ac:dyDescent="0.15">
      <c r="U148" s="174"/>
      <c r="V148" s="174"/>
      <c r="W148" s="174"/>
      <c r="X148" s="174"/>
    </row>
    <row r="149" spans="21:24" x14ac:dyDescent="0.15">
      <c r="U149" s="174"/>
      <c r="V149" s="174"/>
      <c r="W149" s="174"/>
      <c r="X149" s="174"/>
    </row>
    <row r="150" spans="21:24" x14ac:dyDescent="0.15">
      <c r="U150" s="174"/>
      <c r="V150" s="174"/>
      <c r="W150" s="174"/>
      <c r="X150" s="174"/>
    </row>
    <row r="151" spans="21:24" x14ac:dyDescent="0.15">
      <c r="U151" s="174"/>
      <c r="V151" s="174"/>
      <c r="W151" s="174"/>
      <c r="X151" s="174"/>
    </row>
    <row r="152" spans="21:24" x14ac:dyDescent="0.15">
      <c r="U152" s="174"/>
      <c r="V152" s="174"/>
      <c r="W152" s="174"/>
      <c r="X152" s="174"/>
    </row>
    <row r="153" spans="21:24" x14ac:dyDescent="0.15">
      <c r="U153" s="174"/>
      <c r="V153" s="174"/>
      <c r="W153" s="174"/>
      <c r="X153" s="174"/>
    </row>
    <row r="154" spans="21:24" x14ac:dyDescent="0.15">
      <c r="U154" s="174"/>
      <c r="V154" s="174"/>
      <c r="W154" s="174"/>
      <c r="X154" s="174"/>
    </row>
    <row r="155" spans="21:24" x14ac:dyDescent="0.15">
      <c r="U155" s="174"/>
      <c r="V155" s="174"/>
      <c r="W155" s="174"/>
      <c r="X155" s="174"/>
    </row>
    <row r="156" spans="21:24" x14ac:dyDescent="0.15">
      <c r="U156" s="174"/>
      <c r="V156" s="174"/>
      <c r="W156" s="174"/>
      <c r="X156" s="174"/>
    </row>
  </sheetData>
  <sheetProtection password="CC13" sheet="1" objects="1" scenarios="1" formatCells="0" formatColumns="0" formatRows="0" selectLockedCells="1"/>
  <mergeCells count="84">
    <mergeCell ref="P3:T3"/>
    <mergeCell ref="P4:T4"/>
    <mergeCell ref="C8:K8"/>
    <mergeCell ref="L8:M8"/>
    <mergeCell ref="A9:B9"/>
    <mergeCell ref="C9:K9"/>
    <mergeCell ref="L9:M9"/>
    <mergeCell ref="A7:B7"/>
    <mergeCell ref="A4:B4"/>
    <mergeCell ref="C4:K4"/>
    <mergeCell ref="A5:B5"/>
    <mergeCell ref="C5:K5"/>
    <mergeCell ref="A6:B6"/>
    <mergeCell ref="C6:K6"/>
    <mergeCell ref="L50:N50"/>
    <mergeCell ref="O50:U50"/>
    <mergeCell ref="L47:N47"/>
    <mergeCell ref="O47:U47"/>
    <mergeCell ref="L48:N48"/>
    <mergeCell ref="O48:U48"/>
    <mergeCell ref="L49:N49"/>
    <mergeCell ref="O49:U49"/>
    <mergeCell ref="L29:N29"/>
    <mergeCell ref="O29:U29"/>
    <mergeCell ref="L30:N30"/>
    <mergeCell ref="O30:U30"/>
    <mergeCell ref="L46:N46"/>
    <mergeCell ref="N32:U32"/>
    <mergeCell ref="L33:M33"/>
    <mergeCell ref="N33:U33"/>
    <mergeCell ref="D28:J28"/>
    <mergeCell ref="L26:N26"/>
    <mergeCell ref="L27:N27"/>
    <mergeCell ref="O27:U27"/>
    <mergeCell ref="L28:N28"/>
    <mergeCell ref="O28:U28"/>
    <mergeCell ref="C11:J11"/>
    <mergeCell ref="C7:K7"/>
    <mergeCell ref="A8:B8"/>
    <mergeCell ref="A50:C50"/>
    <mergeCell ref="A29:C29"/>
    <mergeCell ref="D29:J29"/>
    <mergeCell ref="A30:C30"/>
    <mergeCell ref="D30:J30"/>
    <mergeCell ref="D47:J47"/>
    <mergeCell ref="C32:J32"/>
    <mergeCell ref="A33:B33"/>
    <mergeCell ref="C33:J33"/>
    <mergeCell ref="A26:C26"/>
    <mergeCell ref="A27:C27"/>
    <mergeCell ref="D27:J27"/>
    <mergeCell ref="A28:C28"/>
    <mergeCell ref="A52:U52"/>
    <mergeCell ref="A34:B34"/>
    <mergeCell ref="C34:J34"/>
    <mergeCell ref="L34:M34"/>
    <mergeCell ref="N34:U34"/>
    <mergeCell ref="A44:B44"/>
    <mergeCell ref="L44:M44"/>
    <mergeCell ref="A43:C43"/>
    <mergeCell ref="L43:N43"/>
    <mergeCell ref="D48:J48"/>
    <mergeCell ref="D49:J49"/>
    <mergeCell ref="D50:J50"/>
    <mergeCell ref="A46:C46"/>
    <mergeCell ref="A47:C47"/>
    <mergeCell ref="A48:C48"/>
    <mergeCell ref="A49:C49"/>
    <mergeCell ref="L1:M1"/>
    <mergeCell ref="N1:U1"/>
    <mergeCell ref="L7:M7"/>
    <mergeCell ref="A23:B23"/>
    <mergeCell ref="L23:M23"/>
    <mergeCell ref="A13:B13"/>
    <mergeCell ref="C13:J13"/>
    <mergeCell ref="L13:M13"/>
    <mergeCell ref="N13:U13"/>
    <mergeCell ref="A12:B12"/>
    <mergeCell ref="C12:J12"/>
    <mergeCell ref="L12:M12"/>
    <mergeCell ref="N12:U12"/>
    <mergeCell ref="N11:U11"/>
    <mergeCell ref="A3:B3"/>
    <mergeCell ref="C3:K3"/>
  </mergeCells>
  <conditionalFormatting sqref="A31:J31 E24:G24">
    <cfRule type="beginsWith" dxfId="97" priority="80" operator="beginsWith" text="not">
      <formula>LEFT(A24,LEN("not"))="not"</formula>
    </cfRule>
    <cfRule type="beginsWith" dxfId="96" priority="81" operator="beginsWith" text="ok">
      <formula>LEFT(A24,LEN("ok"))="ok"</formula>
    </cfRule>
  </conditionalFormatting>
  <conditionalFormatting sqref="J23">
    <cfRule type="beginsWith" dxfId="95" priority="78" operator="beginsWith" text="not">
      <formula>LEFT(J23,LEN("not"))="not"</formula>
    </cfRule>
    <cfRule type="beginsWith" dxfId="94" priority="79" operator="beginsWith" text="ok">
      <formula>LEFT(J23,LEN("ok"))="ok"</formula>
    </cfRule>
  </conditionalFormatting>
  <conditionalFormatting sqref="E44:G44">
    <cfRule type="beginsWith" dxfId="93" priority="76" operator="beginsWith" text="not">
      <formula>LEFT(E44,LEN("not"))="not"</formula>
    </cfRule>
    <cfRule type="beginsWith" dxfId="92" priority="77" operator="beginsWith" text="ok">
      <formula>LEFT(E44,LEN("ok"))="ok"</formula>
    </cfRule>
  </conditionalFormatting>
  <conditionalFormatting sqref="B16:D20">
    <cfRule type="expression" dxfId="91" priority="73" stopIfTrue="1">
      <formula>$A16=""</formula>
    </cfRule>
  </conditionalFormatting>
  <conditionalFormatting sqref="B37:D41">
    <cfRule type="expression" dxfId="90" priority="72" stopIfTrue="1">
      <formula>$A37=""</formula>
    </cfRule>
  </conditionalFormatting>
  <conditionalFormatting sqref="M37:O41">
    <cfRule type="expression" dxfId="89" priority="62" stopIfTrue="1">
      <formula>$L37=""</formula>
    </cfRule>
  </conditionalFormatting>
  <conditionalFormatting sqref="L31:U31">
    <cfRule type="beginsWith" dxfId="88" priority="70" operator="beginsWith" text="not">
      <formula>LEFT(L31,LEN("not"))="not"</formula>
    </cfRule>
    <cfRule type="beginsWith" dxfId="87" priority="71" operator="beginsWith" text="ok">
      <formula>LEFT(L31,LEN("ok"))="ok"</formula>
    </cfRule>
  </conditionalFormatting>
  <conditionalFormatting sqref="M16:O20">
    <cfRule type="expression" dxfId="86" priority="63" stopIfTrue="1">
      <formula>$L16=""</formula>
    </cfRule>
  </conditionalFormatting>
  <conditionalFormatting sqref="A25:J25">
    <cfRule type="beginsWith" dxfId="85" priority="52" operator="beginsWith" text="not">
      <formula>LEFT(A25,LEN("not"))="not"</formula>
    </cfRule>
    <cfRule type="beginsWith" dxfId="84" priority="53" operator="beginsWith" text="ok">
      <formula>LEFT(A25,LEN("ok"))="ok"</formula>
    </cfRule>
  </conditionalFormatting>
  <conditionalFormatting sqref="L25:U25">
    <cfRule type="beginsWith" dxfId="83" priority="50" operator="beginsWith" text="not">
      <formula>LEFT(L25,LEN("not"))="not"</formula>
    </cfRule>
    <cfRule type="beginsWith" dxfId="82" priority="51" operator="beginsWith" text="ok">
      <formula>LEFT(L25,LEN("ok"))="ok"</formula>
    </cfRule>
  </conditionalFormatting>
  <conditionalFormatting sqref="D27:G30 O27:O30 D47:G50 O47:O50">
    <cfRule type="expression" dxfId="81" priority="102">
      <formula>#REF!="N"</formula>
    </cfRule>
  </conditionalFormatting>
  <conditionalFormatting sqref="H23">
    <cfRule type="beginsWith" dxfId="80" priority="37" operator="beginsWith" text="not">
      <formula>LEFT(H23,LEN("not"))="not"</formula>
    </cfRule>
    <cfRule type="beginsWith" dxfId="79" priority="38" operator="beginsWith" text="ok">
      <formula>LEFT(H23,LEN("ok"))="ok"</formula>
    </cfRule>
  </conditionalFormatting>
  <conditionalFormatting sqref="I23">
    <cfRule type="beginsWith" dxfId="78" priority="35" operator="beginsWith" text="not">
      <formula>LEFT(I23,LEN("not"))="not"</formula>
    </cfRule>
    <cfRule type="beginsWith" dxfId="77" priority="36" operator="beginsWith" text="ok">
      <formula>LEFT(I23,LEN("ok"))="ok"</formula>
    </cfRule>
  </conditionalFormatting>
  <conditionalFormatting sqref="A24:D24">
    <cfRule type="beginsWith" dxfId="76" priority="33" operator="beginsWith" text="not">
      <formula>LEFT(A24,LEN("not"))="not"</formula>
    </cfRule>
    <cfRule type="beginsWith" dxfId="75" priority="34" operator="beginsWith" text="ok">
      <formula>LEFT(A24,LEN("ok"))="ok"</formula>
    </cfRule>
  </conditionalFormatting>
  <conditionalFormatting sqref="H24:J24">
    <cfRule type="beginsWith" dxfId="74" priority="25" operator="beginsWith" text="not">
      <formula>LEFT(H24,LEN("not"))="not"</formula>
    </cfRule>
    <cfRule type="beginsWith" dxfId="73" priority="26" operator="beginsWith" text="ok">
      <formula>LEFT(H24,LEN("ok"))="ok"</formula>
    </cfRule>
  </conditionalFormatting>
  <conditionalFormatting sqref="T23">
    <cfRule type="beginsWith" dxfId="72" priority="7" operator="beginsWith" text="not">
      <formula>LEFT(T23,LEN("not"))="not"</formula>
    </cfRule>
    <cfRule type="beginsWith" dxfId="71" priority="8" operator="beginsWith" text="ok">
      <formula>LEFT(T23,LEN("ok"))="ok"</formula>
    </cfRule>
  </conditionalFormatting>
  <conditionalFormatting sqref="T44">
    <cfRule type="beginsWith" dxfId="70" priority="1" operator="beginsWith" text="not">
      <formula>LEFT(T44,LEN("not"))="not"</formula>
    </cfRule>
    <cfRule type="beginsWith" dxfId="69" priority="2" operator="beginsWith" text="ok">
      <formula>LEFT(T44,LEN("ok"))="ok"</formula>
    </cfRule>
  </conditionalFormatting>
  <conditionalFormatting sqref="J44">
    <cfRule type="beginsWith" dxfId="68" priority="31" operator="beginsWith" text="not">
      <formula>LEFT(J44,LEN("not"))="not"</formula>
    </cfRule>
    <cfRule type="beginsWith" dxfId="67" priority="32" operator="beginsWith" text="ok">
      <formula>LEFT(J44,LEN("ok"))="ok"</formula>
    </cfRule>
  </conditionalFormatting>
  <conditionalFormatting sqref="H44">
    <cfRule type="beginsWith" dxfId="66" priority="29" operator="beginsWith" text="not">
      <formula>LEFT(H44,LEN("not"))="not"</formula>
    </cfRule>
    <cfRule type="beginsWith" dxfId="65" priority="30" operator="beginsWith" text="ok">
      <formula>LEFT(H44,LEN("ok"))="ok"</formula>
    </cfRule>
  </conditionalFormatting>
  <conditionalFormatting sqref="I44">
    <cfRule type="beginsWith" dxfId="64" priority="27" operator="beginsWith" text="not">
      <formula>LEFT(I44,LEN("not"))="not"</formula>
    </cfRule>
    <cfRule type="beginsWith" dxfId="63" priority="28" operator="beginsWith" text="ok">
      <formula>LEFT(I44,LEN("ok"))="ok"</formula>
    </cfRule>
  </conditionalFormatting>
  <conditionalFormatting sqref="U23">
    <cfRule type="beginsWith" dxfId="62" priority="11" operator="beginsWith" text="not">
      <formula>LEFT(U23,LEN("not"))="not"</formula>
    </cfRule>
    <cfRule type="beginsWith" dxfId="61" priority="12" operator="beginsWith" text="ok">
      <formula>LEFT(U23,LEN("ok"))="ok"</formula>
    </cfRule>
  </conditionalFormatting>
  <conditionalFormatting sqref="S23">
    <cfRule type="beginsWith" dxfId="60" priority="9" operator="beginsWith" text="not">
      <formula>LEFT(S23,LEN("not"))="not"</formula>
    </cfRule>
    <cfRule type="beginsWith" dxfId="59" priority="10" operator="beginsWith" text="ok">
      <formula>LEFT(S23,LEN("ok"))="ok"</formula>
    </cfRule>
  </conditionalFormatting>
  <conditionalFormatting sqref="P24:R24">
    <cfRule type="beginsWith" dxfId="58" priority="17" operator="beginsWith" text="not">
      <formula>LEFT(P24,LEN("not"))="not"</formula>
    </cfRule>
    <cfRule type="beginsWith" dxfId="57" priority="18" operator="beginsWith" text="ok">
      <formula>LEFT(P24,LEN("ok"))="ok"</formula>
    </cfRule>
  </conditionalFormatting>
  <conditionalFormatting sqref="L24:O24">
    <cfRule type="beginsWith" dxfId="56" priority="15" operator="beginsWith" text="not">
      <formula>LEFT(L24,LEN("not"))="not"</formula>
    </cfRule>
    <cfRule type="beginsWith" dxfId="55" priority="16" operator="beginsWith" text="ok">
      <formula>LEFT(L24,LEN("ok"))="ok"</formula>
    </cfRule>
  </conditionalFormatting>
  <conditionalFormatting sqref="S24:U24">
    <cfRule type="beginsWith" dxfId="54" priority="13" operator="beginsWith" text="not">
      <formula>LEFT(S24,LEN("not"))="not"</formula>
    </cfRule>
    <cfRule type="beginsWith" dxfId="53" priority="14" operator="beginsWith" text="ok">
      <formula>LEFT(S24,LEN("ok"))="ok"</formula>
    </cfRule>
  </conditionalFormatting>
  <conditionalFormatting sqref="U44">
    <cfRule type="beginsWith" dxfId="52" priority="5" operator="beginsWith" text="not">
      <formula>LEFT(U44,LEN("not"))="not"</formula>
    </cfRule>
    <cfRule type="beginsWith" dxfId="51" priority="6" operator="beginsWith" text="ok">
      <formula>LEFT(U44,LEN("ok"))="ok"</formula>
    </cfRule>
  </conditionalFormatting>
  <conditionalFormatting sqref="S44">
    <cfRule type="beginsWith" dxfId="50" priority="3" operator="beginsWith" text="not">
      <formula>LEFT(S44,LEN("not"))="not"</formula>
    </cfRule>
    <cfRule type="beginsWith" dxfId="49" priority="4" operator="beginsWith" text="ok">
      <formula>LEFT(S44,LEN("ok"))="ok"</formula>
    </cfRule>
  </conditionalFormatting>
  <dataValidations xWindow="1292" yWindow="779" count="11">
    <dataValidation type="whole" allowBlank="1" showInputMessage="1" showErrorMessage="1" sqref="O16:O20 D16:D20 O37:O41 D37:D41" xr:uid="{00000000-0002-0000-0900-000000000000}">
      <formula1>1</formula1>
      <formula2>2</formula2>
    </dataValidation>
    <dataValidation type="decimal" allowBlank="1" showInputMessage="1" showErrorMessage="1" sqref="B37:B41 M16:M20 B16:B20 M37:M41" xr:uid="{00000000-0002-0000-0900-000001000000}">
      <formula1>0</formula1>
      <formula2>10000000000000</formula2>
    </dataValidation>
    <dataValidation type="decimal" allowBlank="1" showInputMessage="1" showErrorMessage="1" sqref="C13:K13 N13:U13 C34:K34 N34:U34" xr:uid="{00000000-0002-0000-0900-000002000000}">
      <formula1>0.000001</formula1>
      <formula2>100000000000</formula2>
    </dataValidation>
    <dataValidation type="list" allowBlank="1" showInputMessage="1" showErrorMessage="1" sqref="M6" xr:uid="{00000000-0002-0000-0900-000003000000}">
      <formula1>Pulver</formula1>
    </dataValidation>
    <dataValidation allowBlank="1" showInputMessage="1" showErrorMessage="1" errorTitle="Please select" sqref="N1" xr:uid="{00000000-0002-0000-0900-000004000000}"/>
    <dataValidation type="decimal" allowBlank="1" showInputMessage="1" showErrorMessage="1" sqref="C16:C20 N16:N20 C37:C41 N37:N41" xr:uid="{00000000-0002-0000-0900-000005000000}">
      <formula1>0</formula1>
      <formula2>B16</formula2>
    </dataValidation>
    <dataValidation type="list" allowBlank="1" showInputMessage="1" prompt="Choose or fill in" sqref="C51 D30:J30 O30:U30 D50:J50 O50:U50 K51" xr:uid="{00000000-0002-0000-0900-000006000000}">
      <formula1>Beschichtung</formula1>
    </dataValidation>
    <dataValidation type="list" allowBlank="1" showInputMessage="1" prompt="Choose or fill in" sqref="K50 K30 D49:J49 O29:U29 D29:J29 O49:U49" xr:uid="{00000000-0002-0000-0900-000007000000}">
      <formula1>Verschluss</formula1>
    </dataValidation>
    <dataValidation type="list" allowBlank="1" showInputMessage="1" prompt="Choose or fill in" sqref="K49 K29" xr:uid="{00000000-0002-0000-0900-000008000000}">
      <formula1>Manschette</formula1>
    </dataValidation>
    <dataValidation type="list" allowBlank="1" showInputMessage="1" prompt="Choose or fill in" sqref="D48:K48 O28:U28 D28:K28 O48:U48" xr:uid="{00000000-0002-0000-0900-000009000000}">
      <formula1>Etikett</formula1>
    </dataValidation>
    <dataValidation type="list" allowBlank="1" showInputMessage="1" prompt="Choose or fill in" sqref="K27 D47:K47 D27:G27 O27:U27 O47:U47" xr:uid="{00000000-0002-0000-0900-00000A000000}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N1 A52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56"/>
  <sheetViews>
    <sheetView zoomScaleNormal="100" workbookViewId="0">
      <selection activeCell="C12" sqref="C12:J12"/>
    </sheetView>
  </sheetViews>
  <sheetFormatPr baseColWidth="10" defaultColWidth="11.5" defaultRowHeight="13" x14ac:dyDescent="0.15"/>
  <cols>
    <col min="1" max="1" width="26.6640625" style="162" customWidth="1"/>
    <col min="2" max="3" width="14.33203125" style="162" customWidth="1"/>
    <col min="4" max="4" width="12.6640625" style="162" customWidth="1"/>
    <col min="5" max="7" width="12.6640625" style="162" hidden="1" customWidth="1"/>
    <col min="8" max="8" width="12.1640625" style="162" bestFit="1" customWidth="1"/>
    <col min="9" max="9" width="15.33203125" style="162" bestFit="1" customWidth="1"/>
    <col min="10" max="10" width="12.1640625" style="162" bestFit="1" customWidth="1"/>
    <col min="11" max="11" width="4.33203125" style="162" customWidth="1"/>
    <col min="12" max="12" width="26.6640625" style="162" customWidth="1"/>
    <col min="13" max="14" width="14.33203125" style="162" customWidth="1"/>
    <col min="15" max="15" width="12.6640625" style="162" customWidth="1"/>
    <col min="16" max="18" width="15.6640625" style="162" hidden="1" customWidth="1"/>
    <col min="19" max="19" width="12.1640625" style="162" bestFit="1" customWidth="1"/>
    <col min="20" max="20" width="15.33203125" style="162" bestFit="1" customWidth="1"/>
    <col min="21" max="21" width="12.1640625" style="162" bestFit="1" customWidth="1"/>
    <col min="22" max="22" width="4" style="162" customWidth="1"/>
    <col min="23" max="16384" width="11.5" style="162"/>
  </cols>
  <sheetData>
    <row r="1" spans="1:24" s="170" customFormat="1" ht="17.25" customHeight="1" x14ac:dyDescent="0.2">
      <c r="A1" s="187"/>
      <c r="B1" s="103"/>
      <c r="C1" s="188"/>
      <c r="D1" s="187"/>
      <c r="E1" s="187"/>
      <c r="F1" s="187"/>
      <c r="G1" s="187"/>
      <c r="H1" s="186"/>
      <c r="I1" s="186"/>
      <c r="J1" s="190"/>
      <c r="K1" s="190"/>
      <c r="L1" s="665" t="str">
        <f>Product!G1</f>
        <v>COMMISSION DECISION</v>
      </c>
      <c r="M1" s="666"/>
      <c r="N1" s="684">
        <f>Product!I1</f>
        <v>0</v>
      </c>
      <c r="O1" s="695"/>
      <c r="P1" s="695"/>
      <c r="Q1" s="695"/>
      <c r="R1" s="695"/>
      <c r="S1" s="695"/>
      <c r="T1" s="695"/>
      <c r="U1" s="685"/>
      <c r="V1" s="189"/>
      <c r="W1" s="189"/>
      <c r="X1" s="189"/>
    </row>
    <row r="2" spans="1:24" s="170" customFormat="1" ht="16" x14ac:dyDescent="0.2">
      <c r="A2" s="191"/>
      <c r="B2" s="192"/>
      <c r="C2" s="192"/>
      <c r="D2" s="191"/>
      <c r="E2" s="191"/>
      <c r="F2" s="191"/>
      <c r="G2" s="191"/>
      <c r="H2" s="192"/>
      <c r="I2" s="192"/>
      <c r="J2" s="192"/>
      <c r="K2" s="192"/>
      <c r="L2" s="172"/>
      <c r="M2" s="172"/>
      <c r="N2" s="189"/>
      <c r="O2" s="297" t="str">
        <f>Product!I2</f>
        <v>Template March 2020</v>
      </c>
      <c r="P2" s="189"/>
      <c r="Q2" s="189"/>
      <c r="R2" s="189"/>
      <c r="S2" s="189"/>
      <c r="T2" s="189"/>
      <c r="U2" s="189"/>
      <c r="V2" s="189"/>
      <c r="W2" s="189"/>
      <c r="X2" s="189"/>
    </row>
    <row r="3" spans="1:24" s="170" customFormat="1" ht="15.75" customHeight="1" x14ac:dyDescent="0.2">
      <c r="A3" s="755" t="str">
        <f>Product!A4</f>
        <v>Contract number:</v>
      </c>
      <c r="B3" s="756"/>
      <c r="C3" s="757">
        <f>Product!C4</f>
        <v>0</v>
      </c>
      <c r="D3" s="758"/>
      <c r="E3" s="758"/>
      <c r="F3" s="758"/>
      <c r="G3" s="758"/>
      <c r="H3" s="758"/>
      <c r="I3" s="758"/>
      <c r="J3" s="758"/>
      <c r="K3" s="759"/>
      <c r="L3" s="172"/>
      <c r="M3" s="172"/>
      <c r="N3" s="189"/>
      <c r="O3" s="491" t="str">
        <f>Product!H4</f>
        <v>Date:</v>
      </c>
      <c r="P3" s="781">
        <f>Product!I4</f>
        <v>0</v>
      </c>
      <c r="Q3" s="782"/>
      <c r="R3" s="782"/>
      <c r="S3" s="782"/>
      <c r="T3" s="783"/>
      <c r="U3" s="189"/>
      <c r="V3" s="189"/>
      <c r="W3" s="189"/>
      <c r="X3" s="189"/>
    </row>
    <row r="4" spans="1:24" s="170" customFormat="1" ht="15.75" customHeight="1" x14ac:dyDescent="0.2">
      <c r="A4" s="755" t="str">
        <f>Product!A5</f>
        <v>Licence Holder:</v>
      </c>
      <c r="B4" s="756"/>
      <c r="C4" s="757">
        <f>Product!C5</f>
        <v>0</v>
      </c>
      <c r="D4" s="758"/>
      <c r="E4" s="758"/>
      <c r="F4" s="758"/>
      <c r="G4" s="758"/>
      <c r="H4" s="758"/>
      <c r="I4" s="758"/>
      <c r="J4" s="758"/>
      <c r="K4" s="759"/>
      <c r="L4" s="172"/>
      <c r="M4" s="172"/>
      <c r="N4" s="189"/>
      <c r="O4" s="491" t="str">
        <f>Product!H5</f>
        <v>Version:</v>
      </c>
      <c r="P4" s="784">
        <f>Product!I5</f>
        <v>0</v>
      </c>
      <c r="Q4" s="785"/>
      <c r="R4" s="785"/>
      <c r="S4" s="785"/>
      <c r="T4" s="786"/>
      <c r="U4" s="189"/>
      <c r="V4" s="189"/>
      <c r="W4" s="189"/>
      <c r="X4" s="189"/>
    </row>
    <row r="5" spans="1:24" s="170" customFormat="1" ht="15.75" customHeight="1" x14ac:dyDescent="0.2">
      <c r="A5" s="755" t="str">
        <f>Product!A22</f>
        <v>Type of product:</v>
      </c>
      <c r="B5" s="756"/>
      <c r="C5" s="757">
        <f>Product!C22</f>
        <v>0</v>
      </c>
      <c r="D5" s="758"/>
      <c r="E5" s="758"/>
      <c r="F5" s="758"/>
      <c r="G5" s="758"/>
      <c r="H5" s="758"/>
      <c r="I5" s="758"/>
      <c r="J5" s="758"/>
      <c r="K5" s="759"/>
      <c r="L5" s="172"/>
      <c r="M5" s="172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</row>
    <row r="6" spans="1:24" s="170" customFormat="1" ht="15.75" customHeight="1" x14ac:dyDescent="0.2">
      <c r="A6" s="755" t="str">
        <f>Product!A24</f>
        <v>Form of product:</v>
      </c>
      <c r="B6" s="756"/>
      <c r="C6" s="757">
        <f>Product!C24</f>
        <v>0</v>
      </c>
      <c r="D6" s="758"/>
      <c r="E6" s="758"/>
      <c r="F6" s="758"/>
      <c r="G6" s="758"/>
      <c r="H6" s="758"/>
      <c r="I6" s="758"/>
      <c r="J6" s="758"/>
      <c r="K6" s="759"/>
      <c r="L6" s="172"/>
      <c r="M6" s="172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</row>
    <row r="7" spans="1:24" s="170" customFormat="1" ht="16" x14ac:dyDescent="0.2">
      <c r="A7" s="778" t="str">
        <f>IF(Product!$C$2=Languages!A3,Languages!A332,Languages!B332)</f>
        <v>Highest recommended dosage (soft water)</v>
      </c>
      <c r="B7" s="778"/>
      <c r="C7" s="775">
        <f>MAX(Product!C35,Product!C37,Product!C39)</f>
        <v>0</v>
      </c>
      <c r="D7" s="776"/>
      <c r="E7" s="776"/>
      <c r="F7" s="776"/>
      <c r="G7" s="776"/>
      <c r="H7" s="776"/>
      <c r="I7" s="776"/>
      <c r="J7" s="776"/>
      <c r="K7" s="777"/>
      <c r="L7" s="740">
        <f>Product!C33</f>
        <v>0</v>
      </c>
      <c r="M7" s="740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</row>
    <row r="8" spans="1:24" s="170" customFormat="1" ht="16" x14ac:dyDescent="0.2">
      <c r="A8" s="778" t="str">
        <f>IF(Product!$C$2=Languages!A3,Languages!A333,Languages!B333)</f>
        <v>Highest recommended dosage (medium water)</v>
      </c>
      <c r="B8" s="778"/>
      <c r="C8" s="775">
        <f>MAX(Product!D35,Product!D37,Product!D39)</f>
        <v>0</v>
      </c>
      <c r="D8" s="776"/>
      <c r="E8" s="776"/>
      <c r="F8" s="776"/>
      <c r="G8" s="776"/>
      <c r="H8" s="776"/>
      <c r="I8" s="776"/>
      <c r="J8" s="776"/>
      <c r="K8" s="777"/>
      <c r="L8" s="740">
        <f>L7</f>
        <v>0</v>
      </c>
      <c r="M8" s="740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</row>
    <row r="9" spans="1:24" s="170" customFormat="1" ht="15.75" customHeight="1" x14ac:dyDescent="0.15">
      <c r="A9" s="778" t="str">
        <f>IF(Product!$C$2=Languages!A3,Languages!A334,Languages!B334)</f>
        <v>Highest recommended dosage (hard water)</v>
      </c>
      <c r="B9" s="778"/>
      <c r="C9" s="775">
        <f>MAX(Product!E35,Product!E37,Product!E39)</f>
        <v>0</v>
      </c>
      <c r="D9" s="776"/>
      <c r="E9" s="776"/>
      <c r="F9" s="776"/>
      <c r="G9" s="776"/>
      <c r="H9" s="776"/>
      <c r="I9" s="776"/>
      <c r="J9" s="776"/>
      <c r="K9" s="777"/>
      <c r="L9" s="740">
        <f>L7</f>
        <v>0</v>
      </c>
      <c r="M9" s="740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</row>
    <row r="10" spans="1:24" s="170" customFormat="1" ht="15.75" customHeight="1" thickBot="1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89"/>
      <c r="M10" s="189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</row>
    <row r="11" spans="1:24" s="170" customFormat="1" ht="15.75" customHeight="1" x14ac:dyDescent="0.15">
      <c r="A11" s="298"/>
      <c r="B11" s="299"/>
      <c r="C11" s="752" t="str">
        <f>IF(Product!$C$2=Languages!A3,Languages!A199,Languages!B199)</f>
        <v>packaging size 5</v>
      </c>
      <c r="D11" s="753">
        <f>IF(Product!$C$2=Languages!C12,Languages!C114,Languages!D114)</f>
        <v>0</v>
      </c>
      <c r="E11" s="753"/>
      <c r="F11" s="753"/>
      <c r="G11" s="753"/>
      <c r="H11" s="753">
        <f>IF(Product!$C$2=Languages!D12,Languages!D114,Languages!E114)</f>
        <v>0</v>
      </c>
      <c r="I11" s="753"/>
      <c r="J11" s="754">
        <f>IF(Product!$C$2=Languages!E12,Languages!E114,Languages!F114)</f>
        <v>0</v>
      </c>
      <c r="K11" s="175"/>
      <c r="L11" s="298"/>
      <c r="M11" s="299"/>
      <c r="N11" s="752" t="str">
        <f>IF(Product!$C$2=Languages!A3,Languages!A201,Languages!B201)</f>
        <v>packaging size 7</v>
      </c>
      <c r="O11" s="753">
        <f>IF(Product!$C$2=Languages!J12,Languages!J114,Languages!K114)</f>
        <v>0</v>
      </c>
      <c r="P11" s="753">
        <f>IF(Product!$C$2=Languages!K12,Languages!K114,Languages!L114)</f>
        <v>0</v>
      </c>
      <c r="Q11" s="753"/>
      <c r="R11" s="753"/>
      <c r="S11" s="753"/>
      <c r="T11" s="753"/>
      <c r="U11" s="754">
        <f>IF(Product!$C$2=Languages!L12,Languages!L114,Languages!M114)</f>
        <v>0</v>
      </c>
      <c r="V11" s="193"/>
      <c r="W11" s="193"/>
      <c r="X11" s="193"/>
    </row>
    <row r="12" spans="1:24" s="170" customFormat="1" ht="19.5" customHeight="1" x14ac:dyDescent="0.15">
      <c r="A12" s="748" t="str">
        <f>IF(Product!$C$2=Languages!A3,Languages!A183,Languages!B183)</f>
        <v>Description of the packaging:</v>
      </c>
      <c r="B12" s="749"/>
      <c r="C12" s="745"/>
      <c r="D12" s="746"/>
      <c r="E12" s="746"/>
      <c r="F12" s="746"/>
      <c r="G12" s="746"/>
      <c r="H12" s="746"/>
      <c r="I12" s="746"/>
      <c r="J12" s="747"/>
      <c r="K12" s="175"/>
      <c r="L12" s="750" t="str">
        <f>A12</f>
        <v>Description of the packaging:</v>
      </c>
      <c r="M12" s="751"/>
      <c r="N12" s="745"/>
      <c r="O12" s="746"/>
      <c r="P12" s="746"/>
      <c r="Q12" s="746"/>
      <c r="R12" s="746"/>
      <c r="S12" s="746"/>
      <c r="T12" s="746"/>
      <c r="U12" s="747"/>
      <c r="V12" s="193"/>
      <c r="W12" s="193"/>
      <c r="X12" s="193"/>
    </row>
    <row r="13" spans="1:24" s="170" customFormat="1" ht="51" customHeight="1" x14ac:dyDescent="0.15">
      <c r="A13" s="743" t="str">
        <f>IF(Product!$C$2=Languages!A3,Languages!A185,Languages!B185)</f>
        <v>Volume of the product in the primary
packaging (if reference dosage in ml 
in l, if reference dosage in g in kg):</v>
      </c>
      <c r="B13" s="744"/>
      <c r="C13" s="745"/>
      <c r="D13" s="746"/>
      <c r="E13" s="746"/>
      <c r="F13" s="746"/>
      <c r="G13" s="746"/>
      <c r="H13" s="746"/>
      <c r="I13" s="746"/>
      <c r="J13" s="747"/>
      <c r="K13" s="175"/>
      <c r="L13" s="741" t="str">
        <f t="shared" ref="L13" si="0">A13</f>
        <v>Volume of the product in the primary
packaging (if reference dosage in ml 
in l, if reference dosage in g in kg):</v>
      </c>
      <c r="M13" s="742"/>
      <c r="N13" s="745"/>
      <c r="O13" s="746"/>
      <c r="P13" s="746"/>
      <c r="Q13" s="746"/>
      <c r="R13" s="746"/>
      <c r="S13" s="746"/>
      <c r="T13" s="746"/>
      <c r="U13" s="747"/>
      <c r="V13" s="193"/>
      <c r="W13" s="193"/>
      <c r="X13" s="193"/>
    </row>
    <row r="14" spans="1:24" s="170" customFormat="1" ht="14" thickBot="1" x14ac:dyDescent="0.2">
      <c r="A14" s="300"/>
      <c r="B14" s="192"/>
      <c r="C14" s="192"/>
      <c r="D14" s="192"/>
      <c r="E14" s="192"/>
      <c r="F14" s="192"/>
      <c r="G14" s="192"/>
      <c r="H14" s="192"/>
      <c r="I14" s="192"/>
      <c r="J14" s="301"/>
      <c r="K14" s="190"/>
      <c r="L14" s="300"/>
      <c r="M14" s="192"/>
      <c r="N14" s="192"/>
      <c r="O14" s="192"/>
      <c r="P14" s="192"/>
      <c r="Q14" s="192"/>
      <c r="R14" s="192"/>
      <c r="S14" s="192"/>
      <c r="T14" s="192"/>
      <c r="U14" s="301"/>
      <c r="V14" s="193"/>
      <c r="W14" s="193"/>
      <c r="X14" s="193"/>
    </row>
    <row r="15" spans="1:24" ht="54" customHeight="1" x14ac:dyDescent="0.15">
      <c r="A15" s="265" t="str">
        <f>IF(Product!$C$2=Languages!A3,Languages!A187,Languages!B187)</f>
        <v>Part (i) of the primary packaging 
(please specify part)</v>
      </c>
      <c r="B15" s="266" t="str">
        <f>IF(Product!$C$2=Languages!A3,Languages!A188,Languages!B188)</f>
        <v>Weight of 
this part (i)
in g (Wi)</v>
      </c>
      <c r="C15" s="266" t="str">
        <f>IF(Product!$C$2=Languages!A3,Languages!A189,Languages!B189)</f>
        <v>thereof virgin
material in g (Ui)</v>
      </c>
      <c r="D15" s="266" t="str">
        <f>IF(Product!$C$2=Languages!A3,Languages!A190,Languages!B190)</f>
        <v>Recycling
figure (ri)</v>
      </c>
      <c r="E15" s="473" t="s">
        <v>984</v>
      </c>
      <c r="F15" s="473" t="s">
        <v>985</v>
      </c>
      <c r="G15" s="473" t="s">
        <v>986</v>
      </c>
      <c r="H15" s="481" t="s">
        <v>987</v>
      </c>
      <c r="I15" s="481" t="s">
        <v>988</v>
      </c>
      <c r="J15" s="267" t="s">
        <v>989</v>
      </c>
      <c r="K15" s="190"/>
      <c r="L15" s="265" t="str">
        <f>A15</f>
        <v>Part (i) of the primary packaging 
(please specify part)</v>
      </c>
      <c r="M15" s="266" t="str">
        <f>B15</f>
        <v>Weight of 
this part (i)
in g (Wi)</v>
      </c>
      <c r="N15" s="266" t="str">
        <f>C15</f>
        <v>thereof virgin
material in g (Ui)</v>
      </c>
      <c r="O15" s="266" t="str">
        <f>D15</f>
        <v>Recycling
figure (ri)</v>
      </c>
      <c r="P15" s="473" t="s">
        <v>984</v>
      </c>
      <c r="Q15" s="473" t="s">
        <v>985</v>
      </c>
      <c r="R15" s="473" t="s">
        <v>986</v>
      </c>
      <c r="S15" s="481" t="s">
        <v>987</v>
      </c>
      <c r="T15" s="481" t="s">
        <v>988</v>
      </c>
      <c r="U15" s="267" t="s">
        <v>989</v>
      </c>
      <c r="V15" s="193"/>
      <c r="W15" s="193"/>
      <c r="X15" s="193"/>
    </row>
    <row r="16" spans="1:24" ht="15" customHeight="1" x14ac:dyDescent="0.15">
      <c r="A16" s="176"/>
      <c r="B16" s="183"/>
      <c r="C16" s="183"/>
      <c r="D16" s="177"/>
      <c r="E16" s="268" t="e">
        <f>$C$13*1000/$C$7</f>
        <v>#DIV/0!</v>
      </c>
      <c r="F16" s="268" t="e">
        <f>$C$13*1000/$C$8</f>
        <v>#DIV/0!</v>
      </c>
      <c r="G16" s="268" t="e">
        <f>$C$13*1000/$C$9</f>
        <v>#DIV/0!</v>
      </c>
      <c r="H16" s="478" t="str">
        <f>IF(A16="","",((B16+C16)/(E16*D16)))</f>
        <v/>
      </c>
      <c r="I16" s="479" t="str">
        <f>IF(A16="","",((B16+C16)/(F16*D16)))</f>
        <v/>
      </c>
      <c r="J16" s="269" t="str">
        <f>IF(A16="","",((B16+C16)/(G16*D16)))</f>
        <v/>
      </c>
      <c r="K16" s="190"/>
      <c r="L16" s="176"/>
      <c r="M16" s="183"/>
      <c r="N16" s="183"/>
      <c r="O16" s="177"/>
      <c r="P16" s="268" t="e">
        <f>$N$13*1000/$C$7</f>
        <v>#DIV/0!</v>
      </c>
      <c r="Q16" s="268" t="e">
        <f>$N$13*1000/$C$8</f>
        <v>#DIV/0!</v>
      </c>
      <c r="R16" s="268" t="e">
        <f>$N$13*1000/$C$9</f>
        <v>#DIV/0!</v>
      </c>
      <c r="S16" s="478" t="str">
        <f>IF(L16="","",((M16+N16)/(P16*O16)))</f>
        <v/>
      </c>
      <c r="T16" s="479" t="str">
        <f>IF(L16="","",((M16+N16)/(Q16*O16)))</f>
        <v/>
      </c>
      <c r="U16" s="269" t="str">
        <f>IF(L16="","",((M16+N16)/(R16*O16)))</f>
        <v/>
      </c>
      <c r="V16" s="193"/>
      <c r="W16" s="193"/>
      <c r="X16" s="193"/>
    </row>
    <row r="17" spans="1:26" ht="15" customHeight="1" x14ac:dyDescent="0.15">
      <c r="A17" s="178"/>
      <c r="B17" s="183"/>
      <c r="C17" s="183"/>
      <c r="D17" s="177"/>
      <c r="E17" s="268" t="e">
        <f t="shared" ref="E17:E20" si="1">$C$13*1000/$C$7</f>
        <v>#DIV/0!</v>
      </c>
      <c r="F17" s="268" t="e">
        <f t="shared" ref="F17:F20" si="2">$C$13*1000/$C$8</f>
        <v>#DIV/0!</v>
      </c>
      <c r="G17" s="268" t="e">
        <f t="shared" ref="G17:G20" si="3">$C$13*1000/$C$9</f>
        <v>#DIV/0!</v>
      </c>
      <c r="H17" s="478" t="str">
        <f t="shared" ref="H17:H20" si="4">IF(A17="","",((B17+C17)/(E17*D17)))</f>
        <v/>
      </c>
      <c r="I17" s="479" t="str">
        <f t="shared" ref="I17:I20" si="5">IF(A17="","",((B17+C17)/(F17*D17)))</f>
        <v/>
      </c>
      <c r="J17" s="269" t="str">
        <f t="shared" ref="J17:J20" si="6">IF(A17="","",((B17+C17)/(G17*D17)))</f>
        <v/>
      </c>
      <c r="K17" s="190"/>
      <c r="L17" s="178"/>
      <c r="M17" s="183"/>
      <c r="N17" s="183"/>
      <c r="O17" s="177"/>
      <c r="P17" s="268" t="e">
        <f t="shared" ref="P17:P20" si="7">$N$13*1000/$C$7</f>
        <v>#DIV/0!</v>
      </c>
      <c r="Q17" s="268" t="e">
        <f t="shared" ref="Q17:Q20" si="8">$N$13*1000/$C$8</f>
        <v>#DIV/0!</v>
      </c>
      <c r="R17" s="268" t="e">
        <f t="shared" ref="R17:R20" si="9">$N$13*1000/$C$9</f>
        <v>#DIV/0!</v>
      </c>
      <c r="S17" s="478" t="str">
        <f t="shared" ref="S17:S20" si="10">IF(L17="","",((M17+N17)/(P17*O17)))</f>
        <v/>
      </c>
      <c r="T17" s="479" t="str">
        <f t="shared" ref="T17:T20" si="11">IF(L17="","",((M17+N17)/(Q17*O17)))</f>
        <v/>
      </c>
      <c r="U17" s="269" t="str">
        <f t="shared" ref="U17:U20" si="12">IF(L17="","",((M17+N17)/(R17*O17)))</f>
        <v/>
      </c>
      <c r="V17" s="193"/>
      <c r="W17" s="193"/>
      <c r="X17" s="193"/>
    </row>
    <row r="18" spans="1:26" ht="15" customHeight="1" x14ac:dyDescent="0.15">
      <c r="A18" s="178"/>
      <c r="B18" s="183"/>
      <c r="C18" s="183"/>
      <c r="D18" s="177"/>
      <c r="E18" s="268" t="e">
        <f t="shared" si="1"/>
        <v>#DIV/0!</v>
      </c>
      <c r="F18" s="268" t="e">
        <f t="shared" si="2"/>
        <v>#DIV/0!</v>
      </c>
      <c r="G18" s="268" t="e">
        <f t="shared" si="3"/>
        <v>#DIV/0!</v>
      </c>
      <c r="H18" s="478" t="str">
        <f t="shared" si="4"/>
        <v/>
      </c>
      <c r="I18" s="479" t="str">
        <f t="shared" si="5"/>
        <v/>
      </c>
      <c r="J18" s="269" t="str">
        <f t="shared" si="6"/>
        <v/>
      </c>
      <c r="K18" s="190"/>
      <c r="L18" s="178"/>
      <c r="M18" s="183"/>
      <c r="N18" s="183"/>
      <c r="O18" s="177"/>
      <c r="P18" s="268" t="e">
        <f t="shared" si="7"/>
        <v>#DIV/0!</v>
      </c>
      <c r="Q18" s="268" t="e">
        <f t="shared" si="8"/>
        <v>#DIV/0!</v>
      </c>
      <c r="R18" s="268" t="e">
        <f t="shared" si="9"/>
        <v>#DIV/0!</v>
      </c>
      <c r="S18" s="478" t="str">
        <f t="shared" si="10"/>
        <v/>
      </c>
      <c r="T18" s="479" t="str">
        <f t="shared" si="11"/>
        <v/>
      </c>
      <c r="U18" s="269" t="str">
        <f t="shared" si="12"/>
        <v/>
      </c>
      <c r="V18" s="193"/>
      <c r="W18" s="193"/>
      <c r="X18" s="193"/>
    </row>
    <row r="19" spans="1:26" ht="15" customHeight="1" x14ac:dyDescent="0.15">
      <c r="A19" s="178"/>
      <c r="B19" s="183"/>
      <c r="C19" s="183"/>
      <c r="D19" s="177"/>
      <c r="E19" s="268" t="e">
        <f t="shared" si="1"/>
        <v>#DIV/0!</v>
      </c>
      <c r="F19" s="268" t="e">
        <f t="shared" si="2"/>
        <v>#DIV/0!</v>
      </c>
      <c r="G19" s="268" t="e">
        <f t="shared" si="3"/>
        <v>#DIV/0!</v>
      </c>
      <c r="H19" s="478" t="str">
        <f t="shared" si="4"/>
        <v/>
      </c>
      <c r="I19" s="479" t="str">
        <f t="shared" si="5"/>
        <v/>
      </c>
      <c r="J19" s="269" t="str">
        <f t="shared" si="6"/>
        <v/>
      </c>
      <c r="K19" s="190"/>
      <c r="L19" s="178"/>
      <c r="M19" s="183"/>
      <c r="N19" s="183"/>
      <c r="O19" s="177"/>
      <c r="P19" s="268" t="e">
        <f t="shared" si="7"/>
        <v>#DIV/0!</v>
      </c>
      <c r="Q19" s="268" t="e">
        <f t="shared" si="8"/>
        <v>#DIV/0!</v>
      </c>
      <c r="R19" s="268" t="e">
        <f t="shared" si="9"/>
        <v>#DIV/0!</v>
      </c>
      <c r="S19" s="478" t="str">
        <f t="shared" si="10"/>
        <v/>
      </c>
      <c r="T19" s="479" t="str">
        <f t="shared" si="11"/>
        <v/>
      </c>
      <c r="U19" s="269" t="str">
        <f t="shared" si="12"/>
        <v/>
      </c>
      <c r="V19" s="193"/>
      <c r="W19" s="193"/>
      <c r="X19" s="193"/>
    </row>
    <row r="20" spans="1:26" ht="15" customHeight="1" thickBot="1" x14ac:dyDescent="0.2">
      <c r="A20" s="179"/>
      <c r="B20" s="184"/>
      <c r="C20" s="184"/>
      <c r="D20" s="180"/>
      <c r="E20" s="270" t="e">
        <f t="shared" si="1"/>
        <v>#DIV/0!</v>
      </c>
      <c r="F20" s="270" t="e">
        <f t="shared" si="2"/>
        <v>#DIV/0!</v>
      </c>
      <c r="G20" s="270" t="e">
        <f t="shared" si="3"/>
        <v>#DIV/0!</v>
      </c>
      <c r="H20" s="482" t="str">
        <f t="shared" si="4"/>
        <v/>
      </c>
      <c r="I20" s="483" t="str">
        <f t="shared" si="5"/>
        <v/>
      </c>
      <c r="J20" s="271" t="str">
        <f t="shared" si="6"/>
        <v/>
      </c>
      <c r="K20" s="190"/>
      <c r="L20" s="179"/>
      <c r="M20" s="184"/>
      <c r="N20" s="184"/>
      <c r="O20" s="180"/>
      <c r="P20" s="270" t="e">
        <f t="shared" si="7"/>
        <v>#DIV/0!</v>
      </c>
      <c r="Q20" s="270" t="e">
        <f t="shared" si="8"/>
        <v>#DIV/0!</v>
      </c>
      <c r="R20" s="270" t="e">
        <f t="shared" si="9"/>
        <v>#DIV/0!</v>
      </c>
      <c r="S20" s="482" t="str">
        <f t="shared" si="10"/>
        <v/>
      </c>
      <c r="T20" s="483" t="str">
        <f t="shared" si="11"/>
        <v/>
      </c>
      <c r="U20" s="271" t="str">
        <f t="shared" si="12"/>
        <v/>
      </c>
      <c r="V20" s="193"/>
      <c r="W20" s="193"/>
      <c r="X20" s="193"/>
    </row>
    <row r="21" spans="1:26" ht="17.25" customHeight="1" x14ac:dyDescent="0.15">
      <c r="A21" s="300"/>
      <c r="B21" s="487"/>
      <c r="C21" s="272" t="str">
        <f>IF(Product!$C$2=Languages!A3,Languages!A24,Languages!B24)</f>
        <v>Sum:</v>
      </c>
      <c r="D21" s="273" t="str">
        <f>IF(Product!$C$2=Languages!A3,Languages!A194,Languages!B194)</f>
        <v>=WUR</v>
      </c>
      <c r="E21" s="474"/>
      <c r="F21" s="474"/>
      <c r="G21" s="474"/>
      <c r="H21" s="480">
        <f t="shared" ref="H21:I21" si="13">SUM(H16:H20)</f>
        <v>0</v>
      </c>
      <c r="I21" s="480">
        <f t="shared" si="13"/>
        <v>0</v>
      </c>
      <c r="J21" s="488">
        <f>SUM(J16:J20)</f>
        <v>0</v>
      </c>
      <c r="K21" s="190"/>
      <c r="L21" s="300"/>
      <c r="M21" s="192"/>
      <c r="N21" s="272" t="str">
        <f>C21</f>
        <v>Sum:</v>
      </c>
      <c r="O21" s="273" t="str">
        <f>D21</f>
        <v>=WUR</v>
      </c>
      <c r="P21" s="474"/>
      <c r="Q21" s="474"/>
      <c r="R21" s="474"/>
      <c r="S21" s="480">
        <f t="shared" ref="S21:T21" si="14">SUM(S16:S20)</f>
        <v>0</v>
      </c>
      <c r="T21" s="480">
        <f t="shared" si="14"/>
        <v>0</v>
      </c>
      <c r="U21" s="488">
        <f>SUM(U16:U20)</f>
        <v>0</v>
      </c>
      <c r="V21" s="193"/>
      <c r="W21" s="193"/>
      <c r="X21" s="193"/>
    </row>
    <row r="22" spans="1:26" ht="21.75" customHeight="1" x14ac:dyDescent="0.15">
      <c r="A22" s="300"/>
      <c r="B22" s="192"/>
      <c r="C22" s="192"/>
      <c r="D22" s="465" t="str">
        <f>IF(Product!$C$2=Languages!A3,Languages!A203,Languages!B203)</f>
        <v>Limit</v>
      </c>
      <c r="E22" s="192"/>
      <c r="F22" s="192"/>
      <c r="G22" s="192"/>
      <c r="H22" s="475" t="str">
        <f>IF(Auswahldaten!D3=TRUE,0.8,IF(Auswahldaten!D4=TRUE,1.5,IF(Auswahldaten!E3=TRUE,1,IF(Auswahldaten!E4=TRUE,2," "))))</f>
        <v xml:space="preserve"> </v>
      </c>
      <c r="I22" s="475" t="str">
        <f>IF(Auswahldaten!D3=TRUE,1.4,IF(Auswahldaten!D4=TRUE,2,IF(Auswahldaten!E3=TRUE,1.8,IF(Auswahldaten!E4=TRUE,2.5," "))))</f>
        <v xml:space="preserve"> </v>
      </c>
      <c r="J22" s="489" t="str">
        <f>IF(Auswahldaten!D3=TRUE,2,IF(Auswahldaten!D4=TRUE,2.5,IF(Auswahldaten!E3=TRUE,2.5,IF(Auswahldaten!E4=TRUE,3," "))))</f>
        <v xml:space="preserve"> </v>
      </c>
      <c r="K22" s="190"/>
      <c r="L22" s="300"/>
      <c r="M22" s="192"/>
      <c r="N22" s="192"/>
      <c r="O22" s="465" t="str">
        <f>D22</f>
        <v>Limit</v>
      </c>
      <c r="P22" s="192"/>
      <c r="Q22" s="192"/>
      <c r="R22" s="192"/>
      <c r="S22" s="475" t="str">
        <f>H22</f>
        <v xml:space="preserve"> </v>
      </c>
      <c r="T22" s="475" t="str">
        <f t="shared" ref="T22:U22" si="15">I22</f>
        <v xml:space="preserve"> </v>
      </c>
      <c r="U22" s="489" t="str">
        <f t="shared" si="15"/>
        <v xml:space="preserve"> </v>
      </c>
      <c r="V22" s="193"/>
      <c r="W22" s="193"/>
      <c r="X22" s="193"/>
    </row>
    <row r="23" spans="1:26" ht="25.5" customHeight="1" thickBot="1" x14ac:dyDescent="0.2">
      <c r="A23" s="741" t="str">
        <f>IF(Product!$C$2=Languages!A3,Languages!A324,Languages!B324)</f>
        <v>Recycled materials in primary packaging:</v>
      </c>
      <c r="B23" s="742"/>
      <c r="C23" s="274" t="str">
        <f>IF(C13="","",(SUM(B16:B20)-SUM(C16:C20))/SUM(B16:B20))</f>
        <v/>
      </c>
      <c r="D23" s="472" t="str">
        <f>IF(Product!$C$2=Languages!A3,Languages!A204,Languages!B204)</f>
        <v>Result</v>
      </c>
      <c r="E23" s="192"/>
      <c r="F23" s="192"/>
      <c r="G23" s="487"/>
      <c r="H23" s="472" t="str">
        <f>IF(OR(H21&lt;=H22,C23&gt;0.8),"ok","not ok")</f>
        <v>ok</v>
      </c>
      <c r="I23" s="472" t="str">
        <f>IF(OR(I21&lt;=I22,C23&gt;0.8),"ok","not ok")</f>
        <v>ok</v>
      </c>
      <c r="J23" s="302" t="str">
        <f>IF(OR(J21&lt;=J22,C23&gt;0.8),"ok","not ok")</f>
        <v>ok</v>
      </c>
      <c r="K23" s="190"/>
      <c r="L23" s="741" t="str">
        <f>A23</f>
        <v>Recycled materials in primary packaging:</v>
      </c>
      <c r="M23" s="742"/>
      <c r="N23" s="274" t="str">
        <f>IF(N13="","",(SUM(M16:M20)-SUM(N16:N20))/SUM(M16:M20))</f>
        <v/>
      </c>
      <c r="O23" s="472" t="str">
        <f>D23</f>
        <v>Result</v>
      </c>
      <c r="P23" s="192"/>
      <c r="Q23" s="192"/>
      <c r="R23" s="487"/>
      <c r="S23" s="472" t="str">
        <f>IF(OR(S21&lt;=S22,N23&gt;0.8),"ok","not ok")</f>
        <v>ok</v>
      </c>
      <c r="T23" s="472" t="str">
        <f>IF(OR(T21&lt;=T22,N23&gt;0.8),"ok","not ok")</f>
        <v>ok</v>
      </c>
      <c r="U23" s="302" t="str">
        <f>IF(OR(U21&lt;=U22,N23&gt;0.8),"ok","not ok")</f>
        <v>ok</v>
      </c>
      <c r="V23" s="193"/>
      <c r="W23" s="193"/>
      <c r="X23" s="193"/>
    </row>
    <row r="24" spans="1:26" ht="25.5" customHeight="1" thickTop="1" x14ac:dyDescent="0.15">
      <c r="A24" s="300"/>
      <c r="B24" s="192"/>
      <c r="C24" s="192"/>
      <c r="D24" s="192"/>
      <c r="E24" s="192"/>
      <c r="F24" s="192"/>
      <c r="G24" s="192"/>
      <c r="H24" s="192"/>
      <c r="I24" s="192"/>
      <c r="J24" s="301"/>
      <c r="K24" s="190"/>
      <c r="L24" s="300"/>
      <c r="M24" s="192"/>
      <c r="N24" s="192"/>
      <c r="O24" s="192"/>
      <c r="P24" s="192"/>
      <c r="Q24" s="192"/>
      <c r="R24" s="192"/>
      <c r="S24" s="192"/>
      <c r="T24" s="192"/>
      <c r="U24" s="301"/>
      <c r="V24" s="193"/>
      <c r="W24" s="193"/>
      <c r="X24" s="193"/>
    </row>
    <row r="25" spans="1:26" ht="9.75" customHeight="1" x14ac:dyDescent="0.15">
      <c r="A25" s="303"/>
      <c r="B25" s="192"/>
      <c r="C25" s="276"/>
      <c r="D25" s="276"/>
      <c r="E25" s="276"/>
      <c r="F25" s="276"/>
      <c r="G25" s="276"/>
      <c r="H25" s="277"/>
      <c r="I25" s="277"/>
      <c r="J25" s="304"/>
      <c r="K25" s="190"/>
      <c r="L25" s="303"/>
      <c r="M25" s="192"/>
      <c r="N25" s="276"/>
      <c r="O25" s="276"/>
      <c r="P25" s="277"/>
      <c r="Q25" s="277"/>
      <c r="R25" s="277"/>
      <c r="S25" s="277"/>
      <c r="T25" s="277"/>
      <c r="U25" s="304"/>
      <c r="V25" s="193"/>
      <c r="W25" s="193"/>
      <c r="X25" s="193"/>
    </row>
    <row r="26" spans="1:26" s="7" customFormat="1" ht="28.5" customHeight="1" x14ac:dyDescent="0.2">
      <c r="A26" s="773" t="str">
        <f>IF(Product!$C$2=Languages!A3,Languages!A142,Languages!B142)</f>
        <v>Part of the packaging
(excempted: Pump mechanisms (including in sprays)</v>
      </c>
      <c r="B26" s="774"/>
      <c r="C26" s="774"/>
      <c r="D26" s="18"/>
      <c r="E26" s="18"/>
      <c r="F26" s="18"/>
      <c r="G26" s="18"/>
      <c r="H26" s="18"/>
      <c r="I26" s="18"/>
      <c r="J26" s="305"/>
      <c r="K26" s="18"/>
      <c r="L26" s="773" t="str">
        <f>A26</f>
        <v>Part of the packaging
(excempted: Pump mechanisms (including in sprays)</v>
      </c>
      <c r="M26" s="774"/>
      <c r="N26" s="774"/>
      <c r="O26" s="18"/>
      <c r="P26" s="18"/>
      <c r="Q26" s="18"/>
      <c r="R26" s="18"/>
      <c r="S26" s="18"/>
      <c r="T26" s="18"/>
      <c r="U26" s="305"/>
      <c r="V26" s="54"/>
      <c r="W26" s="54"/>
      <c r="X26" s="54"/>
      <c r="Y26" s="8"/>
      <c r="Z26" s="8"/>
    </row>
    <row r="27" spans="1:26" s="7" customFormat="1" ht="15" customHeight="1" x14ac:dyDescent="0.2">
      <c r="A27" s="773" t="str">
        <f>IF(Product!$C$2=Languages!A3,Languages!A143,Languages!B143)</f>
        <v>Material Container/Bottle</v>
      </c>
      <c r="B27" s="774"/>
      <c r="C27" s="774"/>
      <c r="D27" s="767"/>
      <c r="E27" s="767"/>
      <c r="F27" s="767"/>
      <c r="G27" s="767"/>
      <c r="H27" s="767"/>
      <c r="I27" s="768"/>
      <c r="J27" s="769"/>
      <c r="K27" s="18"/>
      <c r="L27" s="773" t="str">
        <f t="shared" ref="L27:L30" si="16">A27</f>
        <v>Material Container/Bottle</v>
      </c>
      <c r="M27" s="774"/>
      <c r="N27" s="774"/>
      <c r="O27" s="767"/>
      <c r="P27" s="767"/>
      <c r="Q27" s="768"/>
      <c r="R27" s="768"/>
      <c r="S27" s="768"/>
      <c r="T27" s="768"/>
      <c r="U27" s="769"/>
      <c r="V27" s="54"/>
      <c r="W27" s="54"/>
      <c r="X27" s="54"/>
      <c r="Y27" s="8"/>
      <c r="Z27" s="8"/>
    </row>
    <row r="28" spans="1:26" s="7" customFormat="1" ht="15" customHeight="1" x14ac:dyDescent="0.2">
      <c r="A28" s="773" t="str">
        <f>IF(Product!$C$2=Languages!A3,Languages!A144,Languages!B144)</f>
        <v>Material Label</v>
      </c>
      <c r="B28" s="774"/>
      <c r="C28" s="774"/>
      <c r="D28" s="767"/>
      <c r="E28" s="767"/>
      <c r="F28" s="767"/>
      <c r="G28" s="767"/>
      <c r="H28" s="767"/>
      <c r="I28" s="768"/>
      <c r="J28" s="769"/>
      <c r="K28" s="18"/>
      <c r="L28" s="773" t="str">
        <f t="shared" si="16"/>
        <v>Material Label</v>
      </c>
      <c r="M28" s="774"/>
      <c r="N28" s="774"/>
      <c r="O28" s="767"/>
      <c r="P28" s="767"/>
      <c r="Q28" s="768"/>
      <c r="R28" s="768"/>
      <c r="S28" s="768"/>
      <c r="T28" s="768"/>
      <c r="U28" s="769"/>
      <c r="V28" s="54"/>
      <c r="W28" s="54"/>
      <c r="X28" s="54"/>
      <c r="Y28" s="8"/>
      <c r="Z28" s="8"/>
    </row>
    <row r="29" spans="1:26" s="7" customFormat="1" ht="15" customHeight="1" x14ac:dyDescent="0.2">
      <c r="A29" s="773" t="str">
        <f>IF(Product!$C$2=Languages!A3,Languages!A145,Languages!B145)</f>
        <v>Material Closure</v>
      </c>
      <c r="B29" s="774"/>
      <c r="C29" s="774"/>
      <c r="D29" s="767"/>
      <c r="E29" s="767"/>
      <c r="F29" s="767"/>
      <c r="G29" s="767"/>
      <c r="H29" s="767"/>
      <c r="I29" s="768"/>
      <c r="J29" s="769"/>
      <c r="K29" s="18"/>
      <c r="L29" s="773" t="str">
        <f t="shared" si="16"/>
        <v>Material Closure</v>
      </c>
      <c r="M29" s="774"/>
      <c r="N29" s="774"/>
      <c r="O29" s="767"/>
      <c r="P29" s="767"/>
      <c r="Q29" s="768"/>
      <c r="R29" s="768"/>
      <c r="S29" s="768"/>
      <c r="T29" s="768"/>
      <c r="U29" s="769"/>
      <c r="V29" s="54"/>
      <c r="W29" s="54"/>
      <c r="X29" s="54"/>
      <c r="Y29" s="8"/>
      <c r="Z29" s="8"/>
    </row>
    <row r="30" spans="1:26" s="7" customFormat="1" ht="15" customHeight="1" thickBot="1" x14ac:dyDescent="0.25">
      <c r="A30" s="779" t="str">
        <f>IF(Product!$C$2=Languages!A3,Languages!A146,Languages!B146)</f>
        <v>Material Barriere Coating</v>
      </c>
      <c r="B30" s="780"/>
      <c r="C30" s="780"/>
      <c r="D30" s="770"/>
      <c r="E30" s="770"/>
      <c r="F30" s="770"/>
      <c r="G30" s="770"/>
      <c r="H30" s="770"/>
      <c r="I30" s="771"/>
      <c r="J30" s="772"/>
      <c r="K30" s="18"/>
      <c r="L30" s="779" t="str">
        <f t="shared" si="16"/>
        <v>Material Barriere Coating</v>
      </c>
      <c r="M30" s="780"/>
      <c r="N30" s="780"/>
      <c r="O30" s="770"/>
      <c r="P30" s="770"/>
      <c r="Q30" s="771"/>
      <c r="R30" s="771"/>
      <c r="S30" s="771"/>
      <c r="T30" s="771"/>
      <c r="U30" s="772"/>
      <c r="V30" s="54"/>
      <c r="W30" s="54"/>
      <c r="X30" s="54"/>
      <c r="Y30" s="8"/>
      <c r="Z30" s="8"/>
    </row>
    <row r="31" spans="1:26" ht="10.5" customHeight="1" thickBot="1" x14ac:dyDescent="0.2">
      <c r="A31" s="275"/>
      <c r="B31" s="193"/>
      <c r="C31" s="276"/>
      <c r="D31" s="276"/>
      <c r="E31" s="276"/>
      <c r="F31" s="276"/>
      <c r="G31" s="276"/>
      <c r="H31" s="277"/>
      <c r="I31" s="277"/>
      <c r="J31" s="278"/>
      <c r="K31" s="190"/>
      <c r="L31" s="275"/>
      <c r="M31" s="193"/>
      <c r="N31" s="276"/>
      <c r="O31" s="276"/>
      <c r="P31" s="277"/>
      <c r="Q31" s="277"/>
      <c r="R31" s="277"/>
      <c r="S31" s="277"/>
      <c r="T31" s="277"/>
      <c r="U31" s="278"/>
      <c r="V31" s="193"/>
      <c r="W31" s="193"/>
      <c r="X31" s="193"/>
    </row>
    <row r="32" spans="1:26" s="170" customFormat="1" ht="15.75" customHeight="1" x14ac:dyDescent="0.15">
      <c r="A32" s="298"/>
      <c r="B32" s="299"/>
      <c r="C32" s="752" t="str">
        <f>IF(Product!$C$2=Languages!A3,Languages!A200,Languages!B200)</f>
        <v>packaging size 6</v>
      </c>
      <c r="D32" s="753">
        <f>IF(Product!$C$2=Languages!C27,Languages!C129,Languages!D129)</f>
        <v>0</v>
      </c>
      <c r="E32" s="753"/>
      <c r="F32" s="753"/>
      <c r="G32" s="753"/>
      <c r="H32" s="753">
        <f>IF(Product!$C$2=Languages!D27,Languages!D129,Languages!E129)</f>
        <v>0</v>
      </c>
      <c r="I32" s="753"/>
      <c r="J32" s="754">
        <f>IF(Product!$C$2=Languages!E27,Languages!E129,Languages!F129)</f>
        <v>0</v>
      </c>
      <c r="K32" s="175"/>
      <c r="L32" s="308"/>
      <c r="M32" s="309"/>
      <c r="N32" s="752" t="str">
        <f>IF(Product!$C$2=Languages!A3,Languages!A202,Languages!B202)</f>
        <v>packaging size 8</v>
      </c>
      <c r="O32" s="753">
        <f>IF(Product!$C$2=Languages!J27,Languages!J129,Languages!K129)</f>
        <v>0</v>
      </c>
      <c r="P32" s="753">
        <f>IF(Product!$C$2=Languages!K27,Languages!K129,Languages!L129)</f>
        <v>0</v>
      </c>
      <c r="Q32" s="753"/>
      <c r="R32" s="753"/>
      <c r="S32" s="753"/>
      <c r="T32" s="753"/>
      <c r="U32" s="754">
        <f>IF(Product!$C$2=Languages!L27,Languages!L129,Languages!M129)</f>
        <v>0</v>
      </c>
      <c r="V32" s="193"/>
      <c r="W32" s="193"/>
      <c r="X32" s="193"/>
    </row>
    <row r="33" spans="1:26" s="170" customFormat="1" ht="19.5" customHeight="1" x14ac:dyDescent="0.15">
      <c r="A33" s="750" t="str">
        <f>A12</f>
        <v>Description of the packaging:</v>
      </c>
      <c r="B33" s="751"/>
      <c r="C33" s="745"/>
      <c r="D33" s="746"/>
      <c r="E33" s="746"/>
      <c r="F33" s="746"/>
      <c r="G33" s="746"/>
      <c r="H33" s="746"/>
      <c r="I33" s="746"/>
      <c r="J33" s="747"/>
      <c r="K33" s="175"/>
      <c r="L33" s="750" t="str">
        <f>L12</f>
        <v>Description of the packaging:</v>
      </c>
      <c r="M33" s="751"/>
      <c r="N33" s="745"/>
      <c r="O33" s="746"/>
      <c r="P33" s="746"/>
      <c r="Q33" s="746"/>
      <c r="R33" s="746"/>
      <c r="S33" s="746"/>
      <c r="T33" s="746"/>
      <c r="U33" s="747"/>
      <c r="V33" s="193"/>
      <c r="W33" s="193"/>
      <c r="X33" s="193"/>
    </row>
    <row r="34" spans="1:26" s="170" customFormat="1" ht="40.5" customHeight="1" x14ac:dyDescent="0.15">
      <c r="A34" s="741" t="str">
        <f>A13</f>
        <v>Volume of the product in the primary
packaging (if reference dosage in ml 
in l, if reference dosage in g in kg):</v>
      </c>
      <c r="B34" s="742"/>
      <c r="C34" s="745"/>
      <c r="D34" s="746"/>
      <c r="E34" s="746"/>
      <c r="F34" s="746"/>
      <c r="G34" s="746"/>
      <c r="H34" s="746"/>
      <c r="I34" s="746"/>
      <c r="J34" s="747"/>
      <c r="K34" s="175"/>
      <c r="L34" s="763" t="str">
        <f>L13</f>
        <v>Volume of the product in the primary
packaging (if reference dosage in ml 
in l, if reference dosage in g in kg):</v>
      </c>
      <c r="M34" s="764"/>
      <c r="N34" s="745"/>
      <c r="O34" s="746"/>
      <c r="P34" s="746"/>
      <c r="Q34" s="746"/>
      <c r="R34" s="746"/>
      <c r="S34" s="746"/>
      <c r="T34" s="746"/>
      <c r="U34" s="747"/>
      <c r="V34" s="193"/>
      <c r="W34" s="193"/>
      <c r="X34" s="193"/>
    </row>
    <row r="35" spans="1:26" s="170" customFormat="1" ht="14" thickBot="1" x14ac:dyDescent="0.2">
      <c r="A35" s="300"/>
      <c r="B35" s="192"/>
      <c r="C35" s="192"/>
      <c r="D35" s="192"/>
      <c r="E35" s="192"/>
      <c r="F35" s="192"/>
      <c r="G35" s="192"/>
      <c r="H35" s="192"/>
      <c r="I35" s="192"/>
      <c r="J35" s="301"/>
      <c r="K35" s="190"/>
      <c r="L35" s="300"/>
      <c r="M35" s="192"/>
      <c r="N35" s="192"/>
      <c r="O35" s="192"/>
      <c r="P35" s="192"/>
      <c r="Q35" s="192"/>
      <c r="R35" s="192"/>
      <c r="S35" s="192"/>
      <c r="T35" s="192"/>
      <c r="U35" s="301"/>
      <c r="V35" s="193"/>
      <c r="W35" s="193"/>
      <c r="X35" s="193"/>
    </row>
    <row r="36" spans="1:26" ht="54" customHeight="1" x14ac:dyDescent="0.15">
      <c r="A36" s="265" t="str">
        <f>A15</f>
        <v>Part (i) of the primary packaging 
(please specify part)</v>
      </c>
      <c r="B36" s="279" t="str">
        <f>B15</f>
        <v>Weight of 
this part (i)
in g (Wi)</v>
      </c>
      <c r="C36" s="279" t="str">
        <f>C15</f>
        <v>thereof virgin
material in g (Ui)</v>
      </c>
      <c r="D36" s="280" t="str">
        <f>D15</f>
        <v>Recycling
figure (ri)</v>
      </c>
      <c r="E36" s="473" t="s">
        <v>984</v>
      </c>
      <c r="F36" s="473" t="s">
        <v>985</v>
      </c>
      <c r="G36" s="473" t="s">
        <v>986</v>
      </c>
      <c r="H36" s="481" t="s">
        <v>987</v>
      </c>
      <c r="I36" s="481" t="s">
        <v>988</v>
      </c>
      <c r="J36" s="267" t="s">
        <v>989</v>
      </c>
      <c r="K36" s="190"/>
      <c r="L36" s="265" t="str">
        <f>L15</f>
        <v>Part (i) of the primary packaging 
(please specify part)</v>
      </c>
      <c r="M36" s="279" t="str">
        <f>M15</f>
        <v>Weight of 
this part (i)
in g (Wi)</v>
      </c>
      <c r="N36" s="279" t="str">
        <f>N15</f>
        <v>thereof virgin
material in g (Ui)</v>
      </c>
      <c r="O36" s="280" t="str">
        <f>O15</f>
        <v>Recycling
figure (ri)</v>
      </c>
      <c r="P36" s="473" t="s">
        <v>984</v>
      </c>
      <c r="Q36" s="473" t="s">
        <v>985</v>
      </c>
      <c r="R36" s="473" t="s">
        <v>986</v>
      </c>
      <c r="S36" s="481" t="s">
        <v>987</v>
      </c>
      <c r="T36" s="481" t="s">
        <v>988</v>
      </c>
      <c r="U36" s="267" t="s">
        <v>989</v>
      </c>
      <c r="V36" s="193"/>
      <c r="W36" s="193"/>
      <c r="X36" s="193"/>
    </row>
    <row r="37" spans="1:26" ht="15" customHeight="1" x14ac:dyDescent="0.15">
      <c r="A37" s="181"/>
      <c r="B37" s="183"/>
      <c r="C37" s="183"/>
      <c r="D37" s="177"/>
      <c r="E37" s="268" t="e">
        <f>$C$34*1000/$C$7</f>
        <v>#DIV/0!</v>
      </c>
      <c r="F37" s="268" t="e">
        <f>$C$34*1000/$C$8</f>
        <v>#DIV/0!</v>
      </c>
      <c r="G37" s="268" t="e">
        <f>$C$34*1000/$C$9</f>
        <v>#DIV/0!</v>
      </c>
      <c r="H37" s="478" t="str">
        <f>IF(A37="","",((B37+C37)/(E37*D37)))</f>
        <v/>
      </c>
      <c r="I37" s="479" t="str">
        <f>IF(A37="","",((B37+C37)/(F37*D37)))</f>
        <v/>
      </c>
      <c r="J37" s="269" t="str">
        <f>IF(A37="","",((B37+C37)/(G37*D37)))</f>
        <v/>
      </c>
      <c r="K37" s="190"/>
      <c r="L37" s="181"/>
      <c r="M37" s="183"/>
      <c r="N37" s="183"/>
      <c r="O37" s="177"/>
      <c r="P37" s="268" t="e">
        <f>$N$34*1000/$C$7</f>
        <v>#DIV/0!</v>
      </c>
      <c r="Q37" s="268" t="e">
        <f>$N$34*1000/$C$8</f>
        <v>#DIV/0!</v>
      </c>
      <c r="R37" s="268" t="e">
        <f>$N$34*1000/$C$9</f>
        <v>#DIV/0!</v>
      </c>
      <c r="S37" s="478" t="str">
        <f>IF(L37="","",((M37+N37)/(P37*O37)))</f>
        <v/>
      </c>
      <c r="T37" s="479" t="str">
        <f>IF(L37="","",((M37+N37)/(Q37*O37)))</f>
        <v/>
      </c>
      <c r="U37" s="269" t="str">
        <f>IF(L37="","",((M37+N37)/(R37*O37)))</f>
        <v/>
      </c>
      <c r="V37" s="193"/>
      <c r="W37" s="193"/>
      <c r="X37" s="193"/>
    </row>
    <row r="38" spans="1:26" ht="15" customHeight="1" x14ac:dyDescent="0.15">
      <c r="A38" s="178"/>
      <c r="B38" s="183"/>
      <c r="C38" s="183"/>
      <c r="D38" s="177"/>
      <c r="E38" s="268" t="e">
        <f t="shared" ref="E38:E41" si="17">$C$34*1000/$C$7</f>
        <v>#DIV/0!</v>
      </c>
      <c r="F38" s="268" t="e">
        <f t="shared" ref="F38:F41" si="18">$C$34*1000/$C$8</f>
        <v>#DIV/0!</v>
      </c>
      <c r="G38" s="268" t="e">
        <f t="shared" ref="G38:G41" si="19">$C$34*1000/$C$9</f>
        <v>#DIV/0!</v>
      </c>
      <c r="H38" s="478" t="str">
        <f t="shared" ref="H38:H41" si="20">IF(A38="","",((B38+C38)/(E38*D38)))</f>
        <v/>
      </c>
      <c r="I38" s="479" t="str">
        <f t="shared" ref="I38:I41" si="21">IF(A38="","",((B38+C38)/(F38*D38)))</f>
        <v/>
      </c>
      <c r="J38" s="269" t="str">
        <f t="shared" ref="J38:J41" si="22">IF(A38="","",((B38+C38)/(G38*D38)))</f>
        <v/>
      </c>
      <c r="K38" s="190"/>
      <c r="L38" s="178"/>
      <c r="M38" s="183"/>
      <c r="N38" s="183"/>
      <c r="O38" s="177"/>
      <c r="P38" s="268" t="e">
        <f t="shared" ref="P38:P41" si="23">$N$34*1000/$C$7</f>
        <v>#DIV/0!</v>
      </c>
      <c r="Q38" s="268" t="e">
        <f t="shared" ref="Q38:Q41" si="24">$N$34*1000/$C$8</f>
        <v>#DIV/0!</v>
      </c>
      <c r="R38" s="268" t="e">
        <f t="shared" ref="R38:R41" si="25">$N$34*1000/$C$9</f>
        <v>#DIV/0!</v>
      </c>
      <c r="S38" s="478" t="str">
        <f t="shared" ref="S38:S41" si="26">IF(L38="","",((M38+N38)/(P38*O38)))</f>
        <v/>
      </c>
      <c r="T38" s="479" t="str">
        <f t="shared" ref="T38:T41" si="27">IF(L38="","",((M38+N38)/(Q38*O38)))</f>
        <v/>
      </c>
      <c r="U38" s="269" t="str">
        <f t="shared" ref="U38:U41" si="28">IF(L38="","",((M38+N38)/(R38*O38)))</f>
        <v/>
      </c>
      <c r="V38" s="193"/>
      <c r="W38" s="193"/>
      <c r="X38" s="193"/>
    </row>
    <row r="39" spans="1:26" ht="15" customHeight="1" x14ac:dyDescent="0.15">
      <c r="A39" s="178"/>
      <c r="B39" s="183"/>
      <c r="C39" s="183"/>
      <c r="D39" s="177"/>
      <c r="E39" s="268" t="e">
        <f t="shared" si="17"/>
        <v>#DIV/0!</v>
      </c>
      <c r="F39" s="268" t="e">
        <f t="shared" si="18"/>
        <v>#DIV/0!</v>
      </c>
      <c r="G39" s="268" t="e">
        <f t="shared" si="19"/>
        <v>#DIV/0!</v>
      </c>
      <c r="H39" s="478" t="str">
        <f t="shared" si="20"/>
        <v/>
      </c>
      <c r="I39" s="479" t="str">
        <f t="shared" si="21"/>
        <v/>
      </c>
      <c r="J39" s="269" t="str">
        <f t="shared" si="22"/>
        <v/>
      </c>
      <c r="K39" s="190"/>
      <c r="L39" s="178"/>
      <c r="M39" s="183"/>
      <c r="N39" s="183"/>
      <c r="O39" s="177"/>
      <c r="P39" s="268" t="e">
        <f t="shared" si="23"/>
        <v>#DIV/0!</v>
      </c>
      <c r="Q39" s="268" t="e">
        <f t="shared" si="24"/>
        <v>#DIV/0!</v>
      </c>
      <c r="R39" s="268" t="e">
        <f t="shared" si="25"/>
        <v>#DIV/0!</v>
      </c>
      <c r="S39" s="478" t="str">
        <f t="shared" si="26"/>
        <v/>
      </c>
      <c r="T39" s="479" t="str">
        <f t="shared" si="27"/>
        <v/>
      </c>
      <c r="U39" s="269" t="str">
        <f t="shared" si="28"/>
        <v/>
      </c>
      <c r="V39" s="193"/>
      <c r="W39" s="193"/>
      <c r="X39" s="193"/>
    </row>
    <row r="40" spans="1:26" ht="15" customHeight="1" x14ac:dyDescent="0.15">
      <c r="A40" s="178"/>
      <c r="B40" s="183"/>
      <c r="C40" s="183"/>
      <c r="D40" s="177"/>
      <c r="E40" s="268" t="e">
        <f t="shared" si="17"/>
        <v>#DIV/0!</v>
      </c>
      <c r="F40" s="268" t="e">
        <f t="shared" si="18"/>
        <v>#DIV/0!</v>
      </c>
      <c r="G40" s="268" t="e">
        <f t="shared" si="19"/>
        <v>#DIV/0!</v>
      </c>
      <c r="H40" s="478" t="str">
        <f t="shared" si="20"/>
        <v/>
      </c>
      <c r="I40" s="479" t="str">
        <f t="shared" si="21"/>
        <v/>
      </c>
      <c r="J40" s="269" t="str">
        <f t="shared" si="22"/>
        <v/>
      </c>
      <c r="K40" s="190"/>
      <c r="L40" s="178"/>
      <c r="M40" s="183"/>
      <c r="N40" s="183"/>
      <c r="O40" s="177"/>
      <c r="P40" s="268" t="e">
        <f t="shared" si="23"/>
        <v>#DIV/0!</v>
      </c>
      <c r="Q40" s="268" t="e">
        <f t="shared" si="24"/>
        <v>#DIV/0!</v>
      </c>
      <c r="R40" s="268" t="e">
        <f t="shared" si="25"/>
        <v>#DIV/0!</v>
      </c>
      <c r="S40" s="478" t="str">
        <f t="shared" si="26"/>
        <v/>
      </c>
      <c r="T40" s="479" t="str">
        <f t="shared" si="27"/>
        <v/>
      </c>
      <c r="U40" s="269" t="str">
        <f t="shared" si="28"/>
        <v/>
      </c>
      <c r="V40" s="193"/>
      <c r="W40" s="193"/>
      <c r="X40" s="193"/>
    </row>
    <row r="41" spans="1:26" ht="15" customHeight="1" thickBot="1" x14ac:dyDescent="0.2">
      <c r="A41" s="179"/>
      <c r="B41" s="184"/>
      <c r="C41" s="184"/>
      <c r="D41" s="180"/>
      <c r="E41" s="270" t="e">
        <f t="shared" si="17"/>
        <v>#DIV/0!</v>
      </c>
      <c r="F41" s="270" t="e">
        <f t="shared" si="18"/>
        <v>#DIV/0!</v>
      </c>
      <c r="G41" s="270" t="e">
        <f t="shared" si="19"/>
        <v>#DIV/0!</v>
      </c>
      <c r="H41" s="482" t="str">
        <f t="shared" si="20"/>
        <v/>
      </c>
      <c r="I41" s="483" t="str">
        <f t="shared" si="21"/>
        <v/>
      </c>
      <c r="J41" s="271" t="str">
        <f t="shared" si="22"/>
        <v/>
      </c>
      <c r="K41" s="190"/>
      <c r="L41" s="179"/>
      <c r="M41" s="184"/>
      <c r="N41" s="184"/>
      <c r="O41" s="180"/>
      <c r="P41" s="270" t="e">
        <f t="shared" si="23"/>
        <v>#DIV/0!</v>
      </c>
      <c r="Q41" s="270" t="e">
        <f t="shared" si="24"/>
        <v>#DIV/0!</v>
      </c>
      <c r="R41" s="270" t="e">
        <f t="shared" si="25"/>
        <v>#DIV/0!</v>
      </c>
      <c r="S41" s="482" t="str">
        <f t="shared" si="26"/>
        <v/>
      </c>
      <c r="T41" s="483" t="str">
        <f t="shared" si="27"/>
        <v/>
      </c>
      <c r="U41" s="271" t="str">
        <f t="shared" si="28"/>
        <v/>
      </c>
      <c r="V41" s="193"/>
      <c r="W41" s="193"/>
      <c r="X41" s="193"/>
    </row>
    <row r="42" spans="1:26" ht="17.25" customHeight="1" x14ac:dyDescent="0.15">
      <c r="A42" s="300"/>
      <c r="B42" s="192"/>
      <c r="C42" s="272" t="str">
        <f>C21</f>
        <v>Sum:</v>
      </c>
      <c r="D42" s="490" t="str">
        <f>D21</f>
        <v>=WUR</v>
      </c>
      <c r="E42" s="474"/>
      <c r="F42" s="474"/>
      <c r="G42" s="474"/>
      <c r="H42" s="480">
        <f t="shared" ref="H42:I42" si="29">SUM(H37:H41)</f>
        <v>0</v>
      </c>
      <c r="I42" s="480">
        <f t="shared" si="29"/>
        <v>0</v>
      </c>
      <c r="J42" s="480">
        <f>SUM(J37:J41)</f>
        <v>0</v>
      </c>
      <c r="K42" s="190"/>
      <c r="L42" s="300"/>
      <c r="M42" s="192"/>
      <c r="N42" s="272" t="str">
        <f>C42</f>
        <v>Sum:</v>
      </c>
      <c r="O42" s="273" t="str">
        <f>D42</f>
        <v>=WUR</v>
      </c>
      <c r="P42" s="474"/>
      <c r="Q42" s="474"/>
      <c r="R42" s="474"/>
      <c r="S42" s="480">
        <f t="shared" ref="S42:T42" si="30">SUM(S37:S41)</f>
        <v>0</v>
      </c>
      <c r="T42" s="480">
        <f t="shared" si="30"/>
        <v>0</v>
      </c>
      <c r="U42" s="488">
        <f>SUM(U37:U41)</f>
        <v>0</v>
      </c>
      <c r="V42" s="193"/>
      <c r="W42" s="193"/>
      <c r="X42" s="193"/>
    </row>
    <row r="43" spans="1:26" ht="21.75" customHeight="1" x14ac:dyDescent="0.15">
      <c r="A43" s="765"/>
      <c r="B43" s="766"/>
      <c r="C43" s="766"/>
      <c r="D43" s="465" t="str">
        <f>D22</f>
        <v>Limit</v>
      </c>
      <c r="E43" s="471"/>
      <c r="F43" s="471"/>
      <c r="G43" s="471"/>
      <c r="H43" s="484" t="str">
        <f>H22</f>
        <v xml:space="preserve"> </v>
      </c>
      <c r="I43" s="485" t="str">
        <f>I22</f>
        <v xml:space="preserve"> </v>
      </c>
      <c r="J43" s="486" t="str">
        <f>J22</f>
        <v xml:space="preserve"> </v>
      </c>
      <c r="K43" s="190"/>
      <c r="L43" s="765"/>
      <c r="M43" s="766"/>
      <c r="N43" s="766"/>
      <c r="O43" s="465" t="str">
        <f>D43</f>
        <v>Limit</v>
      </c>
      <c r="P43" s="192"/>
      <c r="Q43" s="192"/>
      <c r="R43" s="192"/>
      <c r="S43" s="475" t="str">
        <f>H43</f>
        <v xml:space="preserve"> </v>
      </c>
      <c r="T43" s="475" t="str">
        <f t="shared" ref="T43:U43" si="31">I43</f>
        <v xml:space="preserve"> </v>
      </c>
      <c r="U43" s="489" t="str">
        <f t="shared" si="31"/>
        <v xml:space="preserve"> </v>
      </c>
      <c r="V43" s="193"/>
      <c r="W43" s="193"/>
      <c r="X43" s="193"/>
    </row>
    <row r="44" spans="1:26" ht="25.5" customHeight="1" thickBot="1" x14ac:dyDescent="0.2">
      <c r="A44" s="741" t="str">
        <f>A23</f>
        <v>Recycled materials in primary packaging:</v>
      </c>
      <c r="B44" s="742"/>
      <c r="C44" s="274" t="str">
        <f>IF(C34="","",(SUM(B37:B41)-SUM(C37:C41))/SUM(B37:B41))</f>
        <v/>
      </c>
      <c r="D44" s="472" t="str">
        <f>D23</f>
        <v>Result</v>
      </c>
      <c r="E44" s="192"/>
      <c r="F44" s="192"/>
      <c r="G44" s="192"/>
      <c r="H44" s="472" t="str">
        <f>IF(OR(H42&lt;=H43,C44&gt;0.8),"ok","not ok")</f>
        <v>ok</v>
      </c>
      <c r="I44" s="472" t="str">
        <f>IF(OR(I42&lt;=I43,C44&gt;0.8),"ok","not ok")</f>
        <v>ok</v>
      </c>
      <c r="J44" s="472" t="str">
        <f>IF(OR(J42&lt;=J43,C44&gt;0.8),"ok","not ok")</f>
        <v>ok</v>
      </c>
      <c r="K44" s="190"/>
      <c r="L44" s="741" t="str">
        <f>A23</f>
        <v>Recycled materials in primary packaging:</v>
      </c>
      <c r="M44" s="742"/>
      <c r="N44" s="274" t="str">
        <f>IF(N34="","",(SUM(M37:M41)-SUM(N37:N41))/SUM(M37:M41))</f>
        <v/>
      </c>
      <c r="O44" s="472" t="str">
        <f>D44</f>
        <v>Result</v>
      </c>
      <c r="P44" s="192"/>
      <c r="Q44" s="192"/>
      <c r="R44" s="487"/>
      <c r="S44" s="472" t="str">
        <f>IF(OR(S42&lt;=S43,N44&gt;0.8),"ok","not ok")</f>
        <v>ok</v>
      </c>
      <c r="T44" s="472" t="str">
        <f>IF(OR(T42&lt;=T43,N44&gt;0.8),"ok","not ok")</f>
        <v>ok</v>
      </c>
      <c r="U44" s="302" t="str">
        <f>IF(OR(U42&lt;=U43,N44&gt;0.8),"ok","not ok")</f>
        <v>ok</v>
      </c>
      <c r="V44" s="193"/>
      <c r="W44" s="193"/>
      <c r="X44" s="193"/>
    </row>
    <row r="45" spans="1:26" ht="17" thickTop="1" x14ac:dyDescent="0.2">
      <c r="A45" s="306"/>
      <c r="B45" s="189"/>
      <c r="C45" s="189"/>
      <c r="D45" s="189"/>
      <c r="E45" s="189"/>
      <c r="F45" s="189"/>
      <c r="G45" s="189"/>
      <c r="H45" s="189"/>
      <c r="I45" s="189"/>
      <c r="J45" s="307"/>
      <c r="K45" s="190"/>
      <c r="L45" s="306"/>
      <c r="M45" s="189"/>
      <c r="N45" s="189"/>
      <c r="O45" s="189"/>
      <c r="P45" s="189"/>
      <c r="Q45" s="189"/>
      <c r="R45" s="189"/>
      <c r="S45" s="189"/>
      <c r="T45" s="189"/>
      <c r="U45" s="307"/>
      <c r="V45" s="189"/>
      <c r="W45" s="189"/>
      <c r="X45" s="189"/>
    </row>
    <row r="46" spans="1:26" s="7" customFormat="1" ht="28.5" customHeight="1" x14ac:dyDescent="0.2">
      <c r="A46" s="773" t="str">
        <f>A26</f>
        <v>Part of the packaging
(excempted: Pump mechanisms (including in sprays)</v>
      </c>
      <c r="B46" s="774"/>
      <c r="C46" s="774"/>
      <c r="D46" s="18"/>
      <c r="E46" s="18"/>
      <c r="F46" s="18"/>
      <c r="G46" s="18"/>
      <c r="H46" s="18"/>
      <c r="I46" s="18"/>
      <c r="J46" s="305"/>
      <c r="K46" s="18"/>
      <c r="L46" s="773" t="str">
        <f>A26</f>
        <v>Part of the packaging
(excempted: Pump mechanisms (including in sprays)</v>
      </c>
      <c r="M46" s="774"/>
      <c r="N46" s="774"/>
      <c r="O46" s="18"/>
      <c r="P46" s="18"/>
      <c r="Q46" s="18"/>
      <c r="R46" s="18"/>
      <c r="S46" s="18"/>
      <c r="T46" s="18"/>
      <c r="U46" s="305"/>
      <c r="V46" s="54"/>
      <c r="W46" s="54"/>
      <c r="X46" s="54"/>
      <c r="Y46" s="8"/>
      <c r="Z46" s="8"/>
    </row>
    <row r="47" spans="1:26" s="7" customFormat="1" ht="15" customHeight="1" x14ac:dyDescent="0.2">
      <c r="A47" s="773" t="str">
        <f t="shared" ref="A47:A50" si="32">A27</f>
        <v>Material Container/Bottle</v>
      </c>
      <c r="B47" s="774"/>
      <c r="C47" s="774"/>
      <c r="D47" s="767"/>
      <c r="E47" s="767"/>
      <c r="F47" s="767"/>
      <c r="G47" s="767"/>
      <c r="H47" s="767"/>
      <c r="I47" s="768"/>
      <c r="J47" s="769"/>
      <c r="K47" s="18"/>
      <c r="L47" s="773" t="str">
        <f t="shared" ref="L47:L50" si="33">A27</f>
        <v>Material Container/Bottle</v>
      </c>
      <c r="M47" s="774"/>
      <c r="N47" s="774"/>
      <c r="O47" s="767"/>
      <c r="P47" s="767"/>
      <c r="Q47" s="768"/>
      <c r="R47" s="768"/>
      <c r="S47" s="768"/>
      <c r="T47" s="768"/>
      <c r="U47" s="769"/>
      <c r="V47" s="54"/>
      <c r="W47" s="54"/>
      <c r="X47" s="54"/>
      <c r="Y47" s="8"/>
      <c r="Z47" s="8"/>
    </row>
    <row r="48" spans="1:26" s="7" customFormat="1" ht="15" customHeight="1" x14ac:dyDescent="0.2">
      <c r="A48" s="773" t="str">
        <f t="shared" si="32"/>
        <v>Material Label</v>
      </c>
      <c r="B48" s="774"/>
      <c r="C48" s="774"/>
      <c r="D48" s="767"/>
      <c r="E48" s="767"/>
      <c r="F48" s="767"/>
      <c r="G48" s="767"/>
      <c r="H48" s="767"/>
      <c r="I48" s="768"/>
      <c r="J48" s="769"/>
      <c r="K48" s="18"/>
      <c r="L48" s="773" t="str">
        <f t="shared" si="33"/>
        <v>Material Label</v>
      </c>
      <c r="M48" s="774"/>
      <c r="N48" s="774"/>
      <c r="O48" s="767"/>
      <c r="P48" s="767"/>
      <c r="Q48" s="768"/>
      <c r="R48" s="768"/>
      <c r="S48" s="768"/>
      <c r="T48" s="768"/>
      <c r="U48" s="769"/>
      <c r="V48" s="54"/>
      <c r="W48" s="54"/>
      <c r="X48" s="54"/>
      <c r="Y48" s="8"/>
      <c r="Z48" s="8"/>
    </row>
    <row r="49" spans="1:26" s="7" customFormat="1" ht="15" customHeight="1" x14ac:dyDescent="0.2">
      <c r="A49" s="773" t="str">
        <f t="shared" si="32"/>
        <v>Material Closure</v>
      </c>
      <c r="B49" s="774"/>
      <c r="C49" s="774"/>
      <c r="D49" s="767"/>
      <c r="E49" s="767"/>
      <c r="F49" s="767"/>
      <c r="G49" s="767"/>
      <c r="H49" s="767"/>
      <c r="I49" s="768"/>
      <c r="J49" s="769"/>
      <c r="K49" s="18"/>
      <c r="L49" s="773" t="str">
        <f t="shared" si="33"/>
        <v>Material Closure</v>
      </c>
      <c r="M49" s="774"/>
      <c r="N49" s="774"/>
      <c r="O49" s="767"/>
      <c r="P49" s="767"/>
      <c r="Q49" s="768"/>
      <c r="R49" s="768"/>
      <c r="S49" s="768"/>
      <c r="T49" s="768"/>
      <c r="U49" s="769"/>
      <c r="V49" s="54"/>
      <c r="W49" s="54"/>
      <c r="X49" s="54"/>
      <c r="Y49" s="8"/>
      <c r="Z49" s="8"/>
    </row>
    <row r="50" spans="1:26" s="7" customFormat="1" ht="15" customHeight="1" thickBot="1" x14ac:dyDescent="0.25">
      <c r="A50" s="779" t="str">
        <f t="shared" si="32"/>
        <v>Material Barriere Coating</v>
      </c>
      <c r="B50" s="780"/>
      <c r="C50" s="780"/>
      <c r="D50" s="770"/>
      <c r="E50" s="770"/>
      <c r="F50" s="770"/>
      <c r="G50" s="770"/>
      <c r="H50" s="770"/>
      <c r="I50" s="771"/>
      <c r="J50" s="772"/>
      <c r="K50" s="18"/>
      <c r="L50" s="779" t="str">
        <f t="shared" si="33"/>
        <v>Material Barriere Coating</v>
      </c>
      <c r="M50" s="780"/>
      <c r="N50" s="780"/>
      <c r="O50" s="770"/>
      <c r="P50" s="770"/>
      <c r="Q50" s="771"/>
      <c r="R50" s="771"/>
      <c r="S50" s="771"/>
      <c r="T50" s="771"/>
      <c r="U50" s="772"/>
      <c r="V50" s="54"/>
      <c r="W50" s="54"/>
      <c r="X50" s="54"/>
      <c r="Y50" s="8"/>
      <c r="Z50" s="8"/>
    </row>
    <row r="51" spans="1:26" ht="16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90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</row>
    <row r="52" spans="1:26" ht="34.5" customHeight="1" x14ac:dyDescent="0.2">
      <c r="A52" s="760" t="str">
        <f>'Formulation Pre-Products'!B67</f>
        <v>remarks of the applicant</v>
      </c>
      <c r="B52" s="761"/>
      <c r="C52" s="761"/>
      <c r="D52" s="761"/>
      <c r="E52" s="761"/>
      <c r="F52" s="761"/>
      <c r="G52" s="761"/>
      <c r="H52" s="761"/>
      <c r="I52" s="761"/>
      <c r="J52" s="761"/>
      <c r="K52" s="761"/>
      <c r="L52" s="761"/>
      <c r="M52" s="761"/>
      <c r="N52" s="761"/>
      <c r="O52" s="761"/>
      <c r="P52" s="761"/>
      <c r="Q52" s="761"/>
      <c r="R52" s="761"/>
      <c r="S52" s="761"/>
      <c r="T52" s="761"/>
      <c r="U52" s="762"/>
      <c r="V52" s="189"/>
      <c r="W52" s="189"/>
      <c r="X52" s="189"/>
    </row>
    <row r="53" spans="1:26" ht="16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90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</row>
    <row r="54" spans="1:26" ht="16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90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</row>
    <row r="55" spans="1:26" ht="16" x14ac:dyDescent="0.2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90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</row>
    <row r="56" spans="1:26" ht="16" x14ac:dyDescent="0.2">
      <c r="A56" s="189"/>
      <c r="B56" s="189"/>
      <c r="C56" s="189"/>
      <c r="D56" s="189"/>
      <c r="E56" s="189"/>
      <c r="F56" s="189"/>
      <c r="G56" s="189"/>
      <c r="H56" s="189"/>
      <c r="I56" s="189"/>
      <c r="J56" s="189"/>
      <c r="K56" s="190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</row>
    <row r="57" spans="1:26" ht="16" x14ac:dyDescent="0.2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90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</row>
    <row r="58" spans="1:26" ht="16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90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</row>
    <row r="59" spans="1:26" ht="16" x14ac:dyDescent="0.2">
      <c r="A59" s="189"/>
      <c r="B59" s="189"/>
      <c r="C59" s="189"/>
      <c r="D59" s="189"/>
      <c r="E59" s="189"/>
      <c r="F59" s="189"/>
      <c r="G59" s="189"/>
      <c r="H59" s="189"/>
      <c r="I59" s="189"/>
      <c r="J59" s="189"/>
      <c r="K59" s="190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</row>
    <row r="60" spans="1:26" ht="16" x14ac:dyDescent="0.2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90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</row>
    <row r="61" spans="1:26" ht="16" x14ac:dyDescent="0.2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90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</row>
    <row r="62" spans="1:26" ht="16" x14ac:dyDescent="0.2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90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</row>
    <row r="63" spans="1:26" ht="16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90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</row>
    <row r="64" spans="1:26" ht="16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90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</row>
    <row r="65" spans="1:24" ht="16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90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</row>
    <row r="66" spans="1:24" ht="16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</row>
    <row r="67" spans="1:24" ht="16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</row>
    <row r="68" spans="1:24" ht="16" x14ac:dyDescent="0.2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</row>
    <row r="69" spans="1:24" ht="16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</row>
    <row r="70" spans="1:24" ht="16" x14ac:dyDescent="0.2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</row>
    <row r="71" spans="1:24" ht="16" x14ac:dyDescent="0.2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</row>
    <row r="72" spans="1:24" ht="16" x14ac:dyDescent="0.2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</row>
    <row r="73" spans="1:24" ht="16" x14ac:dyDescent="0.2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</row>
    <row r="74" spans="1:24" ht="16" x14ac:dyDescent="0.2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</row>
    <row r="75" spans="1:24" ht="16" x14ac:dyDescent="0.2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</row>
    <row r="76" spans="1:24" ht="16" x14ac:dyDescent="0.2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</row>
    <row r="77" spans="1:24" ht="16" x14ac:dyDescent="0.2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</row>
    <row r="78" spans="1:24" ht="16" x14ac:dyDescent="0.2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</row>
    <row r="79" spans="1:24" ht="16" x14ac:dyDescent="0.2"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</row>
    <row r="80" spans="1:24" ht="16" x14ac:dyDescent="0.2"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</row>
    <row r="81" spans="12:24" ht="16" x14ac:dyDescent="0.2"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</row>
    <row r="82" spans="12:24" ht="16" x14ac:dyDescent="0.2"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</row>
    <row r="83" spans="12:24" x14ac:dyDescent="0.15">
      <c r="U83" s="174"/>
      <c r="V83" s="174"/>
      <c r="W83" s="174"/>
      <c r="X83" s="174"/>
    </row>
    <row r="84" spans="12:24" x14ac:dyDescent="0.15">
      <c r="U84" s="174"/>
      <c r="V84" s="174"/>
      <c r="W84" s="174"/>
      <c r="X84" s="174"/>
    </row>
    <row r="85" spans="12:24" x14ac:dyDescent="0.15">
      <c r="U85" s="174"/>
      <c r="V85" s="174"/>
      <c r="W85" s="174"/>
      <c r="X85" s="174"/>
    </row>
    <row r="86" spans="12:24" x14ac:dyDescent="0.15">
      <c r="U86" s="174"/>
      <c r="V86" s="174"/>
      <c r="W86" s="174"/>
      <c r="X86" s="174"/>
    </row>
    <row r="87" spans="12:24" x14ac:dyDescent="0.15">
      <c r="U87" s="174"/>
      <c r="V87" s="174"/>
      <c r="W87" s="174"/>
      <c r="X87" s="174"/>
    </row>
    <row r="88" spans="12:24" x14ac:dyDescent="0.15">
      <c r="U88" s="174"/>
      <c r="V88" s="174"/>
      <c r="W88" s="174"/>
      <c r="X88" s="174"/>
    </row>
    <row r="89" spans="12:24" x14ac:dyDescent="0.15">
      <c r="U89" s="174"/>
      <c r="V89" s="174"/>
      <c r="W89" s="174"/>
      <c r="X89" s="174"/>
    </row>
    <row r="90" spans="12:24" x14ac:dyDescent="0.15">
      <c r="U90" s="174"/>
      <c r="V90" s="174"/>
      <c r="W90" s="174"/>
      <c r="X90" s="174"/>
    </row>
    <row r="91" spans="12:24" x14ac:dyDescent="0.15">
      <c r="U91" s="174"/>
      <c r="V91" s="174"/>
      <c r="W91" s="174"/>
      <c r="X91" s="174"/>
    </row>
    <row r="92" spans="12:24" x14ac:dyDescent="0.15">
      <c r="U92" s="174"/>
      <c r="V92" s="174"/>
      <c r="W92" s="174"/>
      <c r="X92" s="174"/>
    </row>
    <row r="93" spans="12:24" x14ac:dyDescent="0.15">
      <c r="U93" s="174"/>
      <c r="V93" s="174"/>
      <c r="W93" s="174"/>
      <c r="X93" s="174"/>
    </row>
    <row r="94" spans="12:24" x14ac:dyDescent="0.15">
      <c r="U94" s="174"/>
      <c r="V94" s="174"/>
      <c r="W94" s="174"/>
      <c r="X94" s="174"/>
    </row>
    <row r="95" spans="12:24" x14ac:dyDescent="0.15">
      <c r="U95" s="174"/>
      <c r="V95" s="174"/>
      <c r="W95" s="174"/>
      <c r="X95" s="174"/>
    </row>
    <row r="96" spans="12:24" x14ac:dyDescent="0.15">
      <c r="U96" s="174"/>
      <c r="V96" s="174"/>
      <c r="W96" s="174"/>
      <c r="X96" s="174"/>
    </row>
    <row r="97" spans="21:24" x14ac:dyDescent="0.15">
      <c r="U97" s="174"/>
      <c r="V97" s="174"/>
      <c r="W97" s="174"/>
      <c r="X97" s="174"/>
    </row>
    <row r="98" spans="21:24" x14ac:dyDescent="0.15">
      <c r="U98" s="174"/>
      <c r="V98" s="174"/>
      <c r="W98" s="174"/>
      <c r="X98" s="174"/>
    </row>
    <row r="99" spans="21:24" x14ac:dyDescent="0.15">
      <c r="U99" s="174"/>
      <c r="V99" s="174"/>
      <c r="W99" s="174"/>
      <c r="X99" s="174"/>
    </row>
    <row r="100" spans="21:24" x14ac:dyDescent="0.15">
      <c r="U100" s="174"/>
      <c r="V100" s="174"/>
      <c r="W100" s="174"/>
      <c r="X100" s="174"/>
    </row>
    <row r="101" spans="21:24" x14ac:dyDescent="0.15">
      <c r="U101" s="174"/>
      <c r="V101" s="174"/>
      <c r="W101" s="174"/>
      <c r="X101" s="174"/>
    </row>
    <row r="102" spans="21:24" x14ac:dyDescent="0.15">
      <c r="U102" s="174"/>
      <c r="V102" s="174"/>
      <c r="W102" s="174"/>
      <c r="X102" s="174"/>
    </row>
    <row r="103" spans="21:24" x14ac:dyDescent="0.15">
      <c r="U103" s="174"/>
      <c r="V103" s="174"/>
      <c r="W103" s="174"/>
      <c r="X103" s="174"/>
    </row>
    <row r="104" spans="21:24" x14ac:dyDescent="0.15">
      <c r="U104" s="174"/>
      <c r="V104" s="174"/>
      <c r="W104" s="174"/>
      <c r="X104" s="174"/>
    </row>
    <row r="105" spans="21:24" x14ac:dyDescent="0.15">
      <c r="U105" s="174"/>
      <c r="V105" s="174"/>
      <c r="W105" s="174"/>
      <c r="X105" s="174"/>
    </row>
    <row r="106" spans="21:24" x14ac:dyDescent="0.15">
      <c r="U106" s="174"/>
      <c r="V106" s="174"/>
      <c r="W106" s="174"/>
      <c r="X106" s="174"/>
    </row>
    <row r="107" spans="21:24" x14ac:dyDescent="0.15">
      <c r="U107" s="174"/>
      <c r="V107" s="174"/>
      <c r="W107" s="174"/>
      <c r="X107" s="174"/>
    </row>
    <row r="108" spans="21:24" x14ac:dyDescent="0.15">
      <c r="U108" s="174"/>
      <c r="V108" s="174"/>
      <c r="W108" s="174"/>
      <c r="X108" s="174"/>
    </row>
    <row r="109" spans="21:24" x14ac:dyDescent="0.15">
      <c r="U109" s="174"/>
      <c r="V109" s="174"/>
      <c r="W109" s="174"/>
      <c r="X109" s="174"/>
    </row>
    <row r="110" spans="21:24" x14ac:dyDescent="0.15">
      <c r="U110" s="174"/>
      <c r="V110" s="174"/>
      <c r="W110" s="174"/>
      <c r="X110" s="174"/>
    </row>
    <row r="111" spans="21:24" x14ac:dyDescent="0.15">
      <c r="U111" s="174"/>
      <c r="V111" s="174"/>
      <c r="W111" s="174"/>
      <c r="X111" s="174"/>
    </row>
    <row r="112" spans="21:24" x14ac:dyDescent="0.15">
      <c r="U112" s="174"/>
      <c r="V112" s="174"/>
      <c r="W112" s="174"/>
      <c r="X112" s="174"/>
    </row>
    <row r="113" spans="21:24" x14ac:dyDescent="0.15">
      <c r="U113" s="174"/>
      <c r="V113" s="174"/>
      <c r="W113" s="174"/>
      <c r="X113" s="174"/>
    </row>
    <row r="114" spans="21:24" x14ac:dyDescent="0.15">
      <c r="U114" s="174"/>
      <c r="V114" s="174"/>
      <c r="W114" s="174"/>
      <c r="X114" s="174"/>
    </row>
    <row r="115" spans="21:24" x14ac:dyDescent="0.15">
      <c r="U115" s="174"/>
      <c r="V115" s="174"/>
      <c r="W115" s="174"/>
      <c r="X115" s="174"/>
    </row>
    <row r="116" spans="21:24" x14ac:dyDescent="0.15">
      <c r="U116" s="174"/>
      <c r="V116" s="174"/>
      <c r="W116" s="174"/>
      <c r="X116" s="174"/>
    </row>
    <row r="117" spans="21:24" x14ac:dyDescent="0.15">
      <c r="U117" s="174"/>
      <c r="V117" s="174"/>
      <c r="W117" s="174"/>
      <c r="X117" s="174"/>
    </row>
    <row r="118" spans="21:24" x14ac:dyDescent="0.15">
      <c r="U118" s="174"/>
      <c r="V118" s="174"/>
      <c r="W118" s="174"/>
      <c r="X118" s="174"/>
    </row>
    <row r="119" spans="21:24" x14ac:dyDescent="0.15">
      <c r="U119" s="174"/>
      <c r="V119" s="174"/>
      <c r="W119" s="174"/>
      <c r="X119" s="174"/>
    </row>
    <row r="120" spans="21:24" x14ac:dyDescent="0.15">
      <c r="U120" s="174"/>
      <c r="V120" s="174"/>
      <c r="W120" s="174"/>
      <c r="X120" s="174"/>
    </row>
    <row r="121" spans="21:24" x14ac:dyDescent="0.15">
      <c r="U121" s="174"/>
      <c r="V121" s="174"/>
      <c r="W121" s="174"/>
      <c r="X121" s="174"/>
    </row>
    <row r="122" spans="21:24" x14ac:dyDescent="0.15">
      <c r="U122" s="174"/>
      <c r="V122" s="174"/>
      <c r="W122" s="174"/>
      <c r="X122" s="174"/>
    </row>
    <row r="123" spans="21:24" x14ac:dyDescent="0.15">
      <c r="U123" s="174"/>
      <c r="V123" s="174"/>
      <c r="W123" s="174"/>
      <c r="X123" s="174"/>
    </row>
    <row r="124" spans="21:24" x14ac:dyDescent="0.15">
      <c r="U124" s="174"/>
      <c r="V124" s="174"/>
      <c r="W124" s="174"/>
      <c r="X124" s="174"/>
    </row>
    <row r="125" spans="21:24" x14ac:dyDescent="0.15">
      <c r="U125" s="174"/>
      <c r="V125" s="174"/>
      <c r="W125" s="174"/>
      <c r="X125" s="174"/>
    </row>
    <row r="126" spans="21:24" x14ac:dyDescent="0.15">
      <c r="U126" s="174"/>
      <c r="V126" s="174"/>
      <c r="W126" s="174"/>
      <c r="X126" s="174"/>
    </row>
    <row r="127" spans="21:24" x14ac:dyDescent="0.15">
      <c r="U127" s="174"/>
      <c r="V127" s="174"/>
      <c r="W127" s="174"/>
      <c r="X127" s="174"/>
    </row>
    <row r="128" spans="21:24" x14ac:dyDescent="0.15">
      <c r="U128" s="174"/>
      <c r="V128" s="174"/>
      <c r="W128" s="174"/>
      <c r="X128" s="174"/>
    </row>
    <row r="129" spans="21:24" x14ac:dyDescent="0.15">
      <c r="U129" s="174"/>
      <c r="V129" s="174"/>
      <c r="W129" s="174"/>
      <c r="X129" s="174"/>
    </row>
    <row r="130" spans="21:24" x14ac:dyDescent="0.15">
      <c r="U130" s="174"/>
      <c r="V130" s="174"/>
      <c r="W130" s="174"/>
      <c r="X130" s="174"/>
    </row>
    <row r="131" spans="21:24" x14ac:dyDescent="0.15">
      <c r="U131" s="174"/>
      <c r="V131" s="174"/>
      <c r="W131" s="174"/>
      <c r="X131" s="174"/>
    </row>
    <row r="132" spans="21:24" x14ac:dyDescent="0.15">
      <c r="U132" s="174"/>
      <c r="V132" s="174"/>
      <c r="W132" s="174"/>
      <c r="X132" s="174"/>
    </row>
    <row r="133" spans="21:24" x14ac:dyDescent="0.15">
      <c r="U133" s="174"/>
      <c r="V133" s="174"/>
      <c r="W133" s="174"/>
      <c r="X133" s="174"/>
    </row>
    <row r="134" spans="21:24" x14ac:dyDescent="0.15">
      <c r="U134" s="174"/>
      <c r="V134" s="174"/>
      <c r="W134" s="174"/>
      <c r="X134" s="174"/>
    </row>
    <row r="135" spans="21:24" x14ac:dyDescent="0.15">
      <c r="U135" s="174"/>
      <c r="V135" s="174"/>
      <c r="W135" s="174"/>
      <c r="X135" s="174"/>
    </row>
    <row r="136" spans="21:24" x14ac:dyDescent="0.15">
      <c r="U136" s="174"/>
      <c r="V136" s="174"/>
      <c r="W136" s="174"/>
      <c r="X136" s="174"/>
    </row>
    <row r="137" spans="21:24" x14ac:dyDescent="0.15">
      <c r="U137" s="174"/>
      <c r="V137" s="174"/>
      <c r="W137" s="174"/>
      <c r="X137" s="174"/>
    </row>
    <row r="138" spans="21:24" x14ac:dyDescent="0.15">
      <c r="U138" s="174"/>
      <c r="V138" s="174"/>
      <c r="W138" s="174"/>
      <c r="X138" s="174"/>
    </row>
    <row r="139" spans="21:24" x14ac:dyDescent="0.15">
      <c r="U139" s="174"/>
      <c r="V139" s="174"/>
      <c r="W139" s="174"/>
      <c r="X139" s="174"/>
    </row>
    <row r="140" spans="21:24" x14ac:dyDescent="0.15">
      <c r="U140" s="174"/>
      <c r="V140" s="174"/>
      <c r="W140" s="174"/>
      <c r="X140" s="174"/>
    </row>
    <row r="141" spans="21:24" x14ac:dyDescent="0.15">
      <c r="U141" s="174"/>
      <c r="V141" s="174"/>
      <c r="W141" s="174"/>
      <c r="X141" s="174"/>
    </row>
    <row r="142" spans="21:24" x14ac:dyDescent="0.15">
      <c r="U142" s="174"/>
      <c r="V142" s="174"/>
      <c r="W142" s="174"/>
      <c r="X142" s="174"/>
    </row>
    <row r="143" spans="21:24" x14ac:dyDescent="0.15">
      <c r="U143" s="174"/>
      <c r="V143" s="174"/>
      <c r="W143" s="174"/>
      <c r="X143" s="174"/>
    </row>
    <row r="144" spans="21:24" x14ac:dyDescent="0.15">
      <c r="U144" s="174"/>
      <c r="V144" s="174"/>
      <c r="W144" s="174"/>
      <c r="X144" s="174"/>
    </row>
    <row r="145" spans="21:24" x14ac:dyDescent="0.15">
      <c r="U145" s="174"/>
      <c r="V145" s="174"/>
      <c r="W145" s="174"/>
      <c r="X145" s="174"/>
    </row>
    <row r="146" spans="21:24" x14ac:dyDescent="0.15">
      <c r="U146" s="174"/>
      <c r="V146" s="174"/>
      <c r="W146" s="174"/>
      <c r="X146" s="174"/>
    </row>
    <row r="147" spans="21:24" x14ac:dyDescent="0.15">
      <c r="U147" s="174"/>
      <c r="V147" s="174"/>
      <c r="W147" s="174"/>
      <c r="X147" s="174"/>
    </row>
    <row r="148" spans="21:24" x14ac:dyDescent="0.15">
      <c r="U148" s="174"/>
      <c r="V148" s="174"/>
      <c r="W148" s="174"/>
      <c r="X148" s="174"/>
    </row>
    <row r="149" spans="21:24" x14ac:dyDescent="0.15">
      <c r="U149" s="174"/>
      <c r="V149" s="174"/>
      <c r="W149" s="174"/>
      <c r="X149" s="174"/>
    </row>
    <row r="150" spans="21:24" x14ac:dyDescent="0.15">
      <c r="U150" s="174"/>
      <c r="V150" s="174"/>
      <c r="W150" s="174"/>
      <c r="X150" s="174"/>
    </row>
    <row r="151" spans="21:24" x14ac:dyDescent="0.15">
      <c r="U151" s="174"/>
      <c r="V151" s="174"/>
      <c r="W151" s="174"/>
      <c r="X151" s="174"/>
    </row>
    <row r="152" spans="21:24" x14ac:dyDescent="0.15">
      <c r="U152" s="174"/>
      <c r="V152" s="174"/>
      <c r="W152" s="174"/>
      <c r="X152" s="174"/>
    </row>
    <row r="153" spans="21:24" x14ac:dyDescent="0.15">
      <c r="U153" s="174"/>
      <c r="V153" s="174"/>
      <c r="W153" s="174"/>
      <c r="X153" s="174"/>
    </row>
    <row r="154" spans="21:24" x14ac:dyDescent="0.15">
      <c r="U154" s="174"/>
      <c r="V154" s="174"/>
      <c r="W154" s="174"/>
      <c r="X154" s="174"/>
    </row>
    <row r="155" spans="21:24" x14ac:dyDescent="0.15">
      <c r="U155" s="174"/>
      <c r="V155" s="174"/>
      <c r="W155" s="174"/>
      <c r="X155" s="174"/>
    </row>
    <row r="156" spans="21:24" x14ac:dyDescent="0.15">
      <c r="U156" s="174"/>
      <c r="V156" s="174"/>
      <c r="W156" s="174"/>
      <c r="X156" s="174"/>
    </row>
  </sheetData>
  <sheetProtection password="CC13" sheet="1" objects="1" scenarios="1" formatCells="0" formatColumns="0" formatRows="0" selectLockedCells="1"/>
  <mergeCells count="84">
    <mergeCell ref="A52:U52"/>
    <mergeCell ref="A49:C49"/>
    <mergeCell ref="D49:J49"/>
    <mergeCell ref="L49:N49"/>
    <mergeCell ref="O49:U49"/>
    <mergeCell ref="A50:C50"/>
    <mergeCell ref="D50:J50"/>
    <mergeCell ref="L50:N50"/>
    <mergeCell ref="O50:U50"/>
    <mergeCell ref="A47:C47"/>
    <mergeCell ref="D47:J47"/>
    <mergeCell ref="L47:N47"/>
    <mergeCell ref="O47:U47"/>
    <mergeCell ref="A48:C48"/>
    <mergeCell ref="D48:J48"/>
    <mergeCell ref="L48:N48"/>
    <mergeCell ref="O48:U48"/>
    <mergeCell ref="A43:C43"/>
    <mergeCell ref="L43:N43"/>
    <mergeCell ref="A44:B44"/>
    <mergeCell ref="L44:M44"/>
    <mergeCell ref="A46:C46"/>
    <mergeCell ref="L46:N46"/>
    <mergeCell ref="A33:B33"/>
    <mergeCell ref="C33:J33"/>
    <mergeCell ref="L33:M33"/>
    <mergeCell ref="N33:U33"/>
    <mergeCell ref="A34:B34"/>
    <mergeCell ref="C34:J34"/>
    <mergeCell ref="L34:M34"/>
    <mergeCell ref="N34:U34"/>
    <mergeCell ref="A30:C30"/>
    <mergeCell ref="D30:J30"/>
    <mergeCell ref="L30:N30"/>
    <mergeCell ref="O30:U30"/>
    <mergeCell ref="C32:J32"/>
    <mergeCell ref="N32:U32"/>
    <mergeCell ref="A28:C28"/>
    <mergeCell ref="D28:J28"/>
    <mergeCell ref="L28:N28"/>
    <mergeCell ref="O28:U28"/>
    <mergeCell ref="A29:C29"/>
    <mergeCell ref="D29:J29"/>
    <mergeCell ref="L29:N29"/>
    <mergeCell ref="O29:U29"/>
    <mergeCell ref="O27:U27"/>
    <mergeCell ref="A13:B13"/>
    <mergeCell ref="C13:J13"/>
    <mergeCell ref="L13:M13"/>
    <mergeCell ref="N13:U13"/>
    <mergeCell ref="A23:B23"/>
    <mergeCell ref="L23:M23"/>
    <mergeCell ref="A26:C26"/>
    <mergeCell ref="L26:N26"/>
    <mergeCell ref="A27:C27"/>
    <mergeCell ref="D27:J27"/>
    <mergeCell ref="L27:N27"/>
    <mergeCell ref="C11:J11"/>
    <mergeCell ref="N11:U11"/>
    <mergeCell ref="A12:B12"/>
    <mergeCell ref="C12:J12"/>
    <mergeCell ref="L12:M12"/>
    <mergeCell ref="N12:U12"/>
    <mergeCell ref="L7:M7"/>
    <mergeCell ref="A8:B8"/>
    <mergeCell ref="C8:K8"/>
    <mergeCell ref="L8:M8"/>
    <mergeCell ref="A9:B9"/>
    <mergeCell ref="C9:K9"/>
    <mergeCell ref="L9:M9"/>
    <mergeCell ref="A5:B5"/>
    <mergeCell ref="C5:K5"/>
    <mergeCell ref="A6:B6"/>
    <mergeCell ref="C6:K6"/>
    <mergeCell ref="A7:B7"/>
    <mergeCell ref="C7:K7"/>
    <mergeCell ref="A4:B4"/>
    <mergeCell ref="C4:K4"/>
    <mergeCell ref="P4:T4"/>
    <mergeCell ref="L1:M1"/>
    <mergeCell ref="N1:U1"/>
    <mergeCell ref="A3:B3"/>
    <mergeCell ref="C3:K3"/>
    <mergeCell ref="P3:T3"/>
  </mergeCells>
  <conditionalFormatting sqref="A31:J31 E24:G24">
    <cfRule type="beginsWith" dxfId="48" priority="47" operator="beginsWith" text="not">
      <formula>LEFT(A24,LEN("not"))="not"</formula>
    </cfRule>
    <cfRule type="beginsWith" dxfId="47" priority="48" operator="beginsWith" text="ok">
      <formula>LEFT(A24,LEN("ok"))="ok"</formula>
    </cfRule>
  </conditionalFormatting>
  <conditionalFormatting sqref="J23">
    <cfRule type="beginsWith" dxfId="46" priority="45" operator="beginsWith" text="not">
      <formula>LEFT(J23,LEN("not"))="not"</formula>
    </cfRule>
    <cfRule type="beginsWith" dxfId="45" priority="46" operator="beginsWith" text="ok">
      <formula>LEFT(J23,LEN("ok"))="ok"</formula>
    </cfRule>
  </conditionalFormatting>
  <conditionalFormatting sqref="E44:G44">
    <cfRule type="beginsWith" dxfId="44" priority="43" operator="beginsWith" text="not">
      <formula>LEFT(E44,LEN("not"))="not"</formula>
    </cfRule>
    <cfRule type="beginsWith" dxfId="43" priority="44" operator="beginsWith" text="ok">
      <formula>LEFT(E44,LEN("ok"))="ok"</formula>
    </cfRule>
  </conditionalFormatting>
  <conditionalFormatting sqref="B16:D20">
    <cfRule type="expression" dxfId="42" priority="42" stopIfTrue="1">
      <formula>$A16=""</formula>
    </cfRule>
  </conditionalFormatting>
  <conditionalFormatting sqref="B37:D41">
    <cfRule type="expression" dxfId="41" priority="41" stopIfTrue="1">
      <formula>$A37=""</formula>
    </cfRule>
  </conditionalFormatting>
  <conditionalFormatting sqref="M37:O41">
    <cfRule type="expression" dxfId="40" priority="37" stopIfTrue="1">
      <formula>$L37=""</formula>
    </cfRule>
  </conditionalFormatting>
  <conditionalFormatting sqref="L31:U31">
    <cfRule type="beginsWith" dxfId="39" priority="39" operator="beginsWith" text="not">
      <formula>LEFT(L31,LEN("not"))="not"</formula>
    </cfRule>
    <cfRule type="beginsWith" dxfId="38" priority="40" operator="beginsWith" text="ok">
      <formula>LEFT(L31,LEN("ok"))="ok"</formula>
    </cfRule>
  </conditionalFormatting>
  <conditionalFormatting sqref="M16:O20">
    <cfRule type="expression" dxfId="37" priority="38" stopIfTrue="1">
      <formula>$L16=""</formula>
    </cfRule>
  </conditionalFormatting>
  <conditionalFormatting sqref="A25:J25">
    <cfRule type="beginsWith" dxfId="36" priority="35" operator="beginsWith" text="not">
      <formula>LEFT(A25,LEN("not"))="not"</formula>
    </cfRule>
    <cfRule type="beginsWith" dxfId="35" priority="36" operator="beginsWith" text="ok">
      <formula>LEFT(A25,LEN("ok"))="ok"</formula>
    </cfRule>
  </conditionalFormatting>
  <conditionalFormatting sqref="L25:U25">
    <cfRule type="beginsWith" dxfId="34" priority="33" operator="beginsWith" text="not">
      <formula>LEFT(L25,LEN("not"))="not"</formula>
    </cfRule>
    <cfRule type="beginsWith" dxfId="33" priority="34" operator="beginsWith" text="ok">
      <formula>LEFT(L25,LEN("ok"))="ok"</formula>
    </cfRule>
  </conditionalFormatting>
  <conditionalFormatting sqref="D27:G30 O27:O30 D47:G50 O47:O50">
    <cfRule type="expression" dxfId="32" priority="49">
      <formula>#REF!="N"</formula>
    </cfRule>
  </conditionalFormatting>
  <conditionalFormatting sqref="H23">
    <cfRule type="beginsWith" dxfId="31" priority="31" operator="beginsWith" text="not">
      <formula>LEFT(H23,LEN("not"))="not"</formula>
    </cfRule>
    <cfRule type="beginsWith" dxfId="30" priority="32" operator="beginsWith" text="ok">
      <formula>LEFT(H23,LEN("ok"))="ok"</formula>
    </cfRule>
  </conditionalFormatting>
  <conditionalFormatting sqref="I23">
    <cfRule type="beginsWith" dxfId="29" priority="29" operator="beginsWith" text="not">
      <formula>LEFT(I23,LEN("not"))="not"</formula>
    </cfRule>
    <cfRule type="beginsWith" dxfId="28" priority="30" operator="beginsWith" text="ok">
      <formula>LEFT(I23,LEN("ok"))="ok"</formula>
    </cfRule>
  </conditionalFormatting>
  <conditionalFormatting sqref="A24:D24">
    <cfRule type="beginsWith" dxfId="27" priority="27" operator="beginsWith" text="not">
      <formula>LEFT(A24,LEN("not"))="not"</formula>
    </cfRule>
    <cfRule type="beginsWith" dxfId="26" priority="28" operator="beginsWith" text="ok">
      <formula>LEFT(A24,LEN("ok"))="ok"</formula>
    </cfRule>
  </conditionalFormatting>
  <conditionalFormatting sqref="H24:J24">
    <cfRule type="beginsWith" dxfId="25" priority="19" operator="beginsWith" text="not">
      <formula>LEFT(H24,LEN("not"))="not"</formula>
    </cfRule>
    <cfRule type="beginsWith" dxfId="24" priority="20" operator="beginsWith" text="ok">
      <formula>LEFT(H24,LEN("ok"))="ok"</formula>
    </cfRule>
  </conditionalFormatting>
  <conditionalFormatting sqref="J44">
    <cfRule type="beginsWith" dxfId="23" priority="25" operator="beginsWith" text="not">
      <formula>LEFT(J44,LEN("not"))="not"</formula>
    </cfRule>
    <cfRule type="beginsWith" dxfId="22" priority="26" operator="beginsWith" text="ok">
      <formula>LEFT(J44,LEN("ok"))="ok"</formula>
    </cfRule>
  </conditionalFormatting>
  <conditionalFormatting sqref="H44">
    <cfRule type="beginsWith" dxfId="21" priority="23" operator="beginsWith" text="not">
      <formula>LEFT(H44,LEN("not"))="not"</formula>
    </cfRule>
    <cfRule type="beginsWith" dxfId="20" priority="24" operator="beginsWith" text="ok">
      <formula>LEFT(H44,LEN("ok"))="ok"</formula>
    </cfRule>
  </conditionalFormatting>
  <conditionalFormatting sqref="I44">
    <cfRule type="beginsWith" dxfId="19" priority="21" operator="beginsWith" text="not">
      <formula>LEFT(I44,LEN("not"))="not"</formula>
    </cfRule>
    <cfRule type="beginsWith" dxfId="18" priority="22" operator="beginsWith" text="ok">
      <formula>LEFT(I44,LEN("ok"))="ok"</formula>
    </cfRule>
  </conditionalFormatting>
  <conditionalFormatting sqref="P24:R24">
    <cfRule type="beginsWith" dxfId="17" priority="17" operator="beginsWith" text="not">
      <formula>LEFT(P24,LEN("not"))="not"</formula>
    </cfRule>
    <cfRule type="beginsWith" dxfId="16" priority="18" operator="beginsWith" text="ok">
      <formula>LEFT(P24,LEN("ok"))="ok"</formula>
    </cfRule>
  </conditionalFormatting>
  <conditionalFormatting sqref="L24:O24">
    <cfRule type="beginsWith" dxfId="15" priority="15" operator="beginsWith" text="not">
      <formula>LEFT(L24,LEN("not"))="not"</formula>
    </cfRule>
    <cfRule type="beginsWith" dxfId="14" priority="16" operator="beginsWith" text="ok">
      <formula>LEFT(L24,LEN("ok"))="ok"</formula>
    </cfRule>
  </conditionalFormatting>
  <conditionalFormatting sqref="S24:U24">
    <cfRule type="beginsWith" dxfId="13" priority="13" operator="beginsWith" text="not">
      <formula>LEFT(S24,LEN("not"))="not"</formula>
    </cfRule>
    <cfRule type="beginsWith" dxfId="12" priority="14" operator="beginsWith" text="ok">
      <formula>LEFT(S24,LEN("ok"))="ok"</formula>
    </cfRule>
  </conditionalFormatting>
  <conditionalFormatting sqref="U23">
    <cfRule type="beginsWith" dxfId="11" priority="11" operator="beginsWith" text="not">
      <formula>LEFT(U23,LEN("not"))="not"</formula>
    </cfRule>
    <cfRule type="beginsWith" dxfId="10" priority="12" operator="beginsWith" text="ok">
      <formula>LEFT(U23,LEN("ok"))="ok"</formula>
    </cfRule>
  </conditionalFormatting>
  <conditionalFormatting sqref="S23">
    <cfRule type="beginsWith" dxfId="9" priority="9" operator="beginsWith" text="not">
      <formula>LEFT(S23,LEN("not"))="not"</formula>
    </cfRule>
    <cfRule type="beginsWith" dxfId="8" priority="10" operator="beginsWith" text="ok">
      <formula>LEFT(S23,LEN("ok"))="ok"</formula>
    </cfRule>
  </conditionalFormatting>
  <conditionalFormatting sqref="T23">
    <cfRule type="beginsWith" dxfId="7" priority="7" operator="beginsWith" text="not">
      <formula>LEFT(T23,LEN("not"))="not"</formula>
    </cfRule>
    <cfRule type="beginsWith" dxfId="6" priority="8" operator="beginsWith" text="ok">
      <formula>LEFT(T23,LEN("ok"))="ok"</formula>
    </cfRule>
  </conditionalFormatting>
  <conditionalFormatting sqref="U44">
    <cfRule type="beginsWith" dxfId="5" priority="5" operator="beginsWith" text="not">
      <formula>LEFT(U44,LEN("not"))="not"</formula>
    </cfRule>
    <cfRule type="beginsWith" dxfId="4" priority="6" operator="beginsWith" text="ok">
      <formula>LEFT(U44,LEN("ok"))="ok"</formula>
    </cfRule>
  </conditionalFormatting>
  <conditionalFormatting sqref="S44">
    <cfRule type="beginsWith" dxfId="3" priority="3" operator="beginsWith" text="not">
      <formula>LEFT(S44,LEN("not"))="not"</formula>
    </cfRule>
    <cfRule type="beginsWith" dxfId="2" priority="4" operator="beginsWith" text="ok">
      <formula>LEFT(S44,LEN("ok"))="ok"</formula>
    </cfRule>
  </conditionalFormatting>
  <conditionalFormatting sqref="T44">
    <cfRule type="beginsWith" dxfId="1" priority="1" operator="beginsWith" text="not">
      <formula>LEFT(T44,LEN("not"))="not"</formula>
    </cfRule>
    <cfRule type="beginsWith" dxfId="0" priority="2" operator="beginsWith" text="ok">
      <formula>LEFT(T44,LEN("ok"))="ok"</formula>
    </cfRule>
  </conditionalFormatting>
  <dataValidations count="11">
    <dataValidation type="list" allowBlank="1" showInputMessage="1" prompt="Choose or fill in" sqref="K27 D47:K47 D27:G27 O27:U27 O47:U47" xr:uid="{00000000-0002-0000-0A00-000000000000}">
      <formula1>Flasche</formula1>
    </dataValidation>
    <dataValidation type="list" allowBlank="1" showInputMessage="1" prompt="Choose or fill in" sqref="D48:K48 O28:U28 D28:K28 O48:U48" xr:uid="{00000000-0002-0000-0A00-000001000000}">
      <formula1>Etikett</formula1>
    </dataValidation>
    <dataValidation type="list" allowBlank="1" showInputMessage="1" prompt="Choose or fill in" sqref="K49 K29" xr:uid="{00000000-0002-0000-0A00-000002000000}">
      <formula1>Manschette</formula1>
    </dataValidation>
    <dataValidation type="list" allowBlank="1" showInputMessage="1" prompt="Choose or fill in" sqref="K50 K30 D49:J49 O29:U29 D29:J29 O49:U49" xr:uid="{00000000-0002-0000-0A00-000003000000}">
      <formula1>Verschluss</formula1>
    </dataValidation>
    <dataValidation type="list" allowBlank="1" showInputMessage="1" prompt="Choose or fill in" sqref="C51 D30:J30 O30:U30 D50:J50 O50:U50 K51" xr:uid="{00000000-0002-0000-0A00-000004000000}">
      <formula1>Beschichtung</formula1>
    </dataValidation>
    <dataValidation type="decimal" allowBlank="1" showInputMessage="1" showErrorMessage="1" sqref="C16:C20 N16:N20 C37:C41 N37:N41" xr:uid="{00000000-0002-0000-0A00-000005000000}">
      <formula1>0</formula1>
      <formula2>B16</formula2>
    </dataValidation>
    <dataValidation allowBlank="1" showInputMessage="1" showErrorMessage="1" errorTitle="Please select" sqref="N1" xr:uid="{00000000-0002-0000-0A00-000006000000}"/>
    <dataValidation type="list" allowBlank="1" showInputMessage="1" showErrorMessage="1" sqref="M6" xr:uid="{00000000-0002-0000-0A00-000007000000}">
      <formula1>Pulver</formula1>
    </dataValidation>
    <dataValidation type="decimal" allowBlank="1" showInputMessage="1" showErrorMessage="1" sqref="C13:K13 N13:U13 C34:K34 N34:U34" xr:uid="{00000000-0002-0000-0A00-000008000000}">
      <formula1>0.000001</formula1>
      <formula2>100000000000</formula2>
    </dataValidation>
    <dataValidation type="decimal" allowBlank="1" showInputMessage="1" showErrorMessage="1" sqref="B37:B41 M16:M20 B16:B20 M37:M41" xr:uid="{00000000-0002-0000-0A00-000009000000}">
      <formula1>0</formula1>
      <formula2>10000000000000</formula2>
    </dataValidation>
    <dataValidation type="whole" allowBlank="1" showInputMessage="1" showErrorMessage="1" sqref="O16:O20 D16:D20 O37:O41 D37:D41" xr:uid="{00000000-0002-0000-0A00-00000A000000}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/>
  <dimension ref="A1:Z461"/>
  <sheetViews>
    <sheetView workbookViewId="0">
      <selection activeCell="P8" sqref="P8"/>
    </sheetView>
  </sheetViews>
  <sheetFormatPr baseColWidth="10" defaultColWidth="11.5" defaultRowHeight="14" x14ac:dyDescent="0.2"/>
  <cols>
    <col min="1" max="1" width="12.6640625" style="499" customWidth="1"/>
    <col min="2" max="2" width="22.5" style="499" bestFit="1" customWidth="1"/>
    <col min="3" max="3" width="74.33203125" style="499" customWidth="1"/>
    <col min="4" max="9" width="9" style="500" customWidth="1"/>
    <col min="10" max="12" width="7.5" style="500" customWidth="1"/>
    <col min="13" max="14" width="9.1640625" style="342"/>
    <col min="15" max="15" width="11.5" style="221"/>
  </cols>
  <sheetData>
    <row r="1" spans="1:26" x14ac:dyDescent="0.2">
      <c r="A1" s="498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6" x14ac:dyDescent="0.2">
      <c r="A2" s="501"/>
      <c r="B2" s="501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3" x14ac:dyDescent="0.25">
      <c r="A3" s="502" t="s">
        <v>642</v>
      </c>
      <c r="B3" s="502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5" thickBot="1" x14ac:dyDescent="0.35">
      <c r="A4" s="503"/>
      <c r="B4" s="503"/>
      <c r="K4" s="500" t="s">
        <v>643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7" thickBot="1" x14ac:dyDescent="0.25">
      <c r="C5" s="504"/>
      <c r="D5" s="787" t="s">
        <v>14</v>
      </c>
      <c r="E5" s="788"/>
      <c r="F5" s="789"/>
      <c r="G5" s="787" t="s">
        <v>15</v>
      </c>
      <c r="H5" s="788"/>
      <c r="I5" s="789"/>
      <c r="J5" s="787" t="s">
        <v>16</v>
      </c>
      <c r="K5" s="788"/>
      <c r="L5" s="78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86" thickBot="1" x14ac:dyDescent="0.25">
      <c r="A6" s="505" t="s">
        <v>17</v>
      </c>
      <c r="B6" s="505"/>
      <c r="C6" s="506" t="s">
        <v>18</v>
      </c>
      <c r="D6" s="507" t="s">
        <v>233</v>
      </c>
      <c r="E6" s="508" t="s">
        <v>234</v>
      </c>
      <c r="F6" s="509" t="s">
        <v>235</v>
      </c>
      <c r="G6" s="510" t="s">
        <v>19</v>
      </c>
      <c r="H6" s="508" t="s">
        <v>236</v>
      </c>
      <c r="I6" s="509" t="s">
        <v>237</v>
      </c>
      <c r="J6" s="510" t="s">
        <v>20</v>
      </c>
      <c r="K6" s="508" t="s">
        <v>21</v>
      </c>
      <c r="L6" s="509" t="s">
        <v>22</v>
      </c>
      <c r="M6" s="343"/>
      <c r="N6" s="343"/>
      <c r="O6" s="222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thickBot="1" x14ac:dyDescent="0.25">
      <c r="A7" s="511" t="s">
        <v>180</v>
      </c>
      <c r="B7" s="512"/>
      <c r="C7" s="513" t="s">
        <v>180</v>
      </c>
      <c r="D7" s="514"/>
      <c r="E7" s="514"/>
      <c r="F7" s="514"/>
      <c r="G7" s="514"/>
      <c r="H7" s="514"/>
      <c r="I7" s="514"/>
      <c r="J7" s="514"/>
      <c r="K7" s="514"/>
      <c r="L7" s="515"/>
      <c r="M7" s="343"/>
      <c r="N7" s="343"/>
      <c r="O7" s="222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">
      <c r="A8" s="516">
        <v>2001</v>
      </c>
      <c r="B8" s="517" t="s">
        <v>23</v>
      </c>
      <c r="C8" s="518" t="s">
        <v>238</v>
      </c>
      <c r="D8" s="519">
        <v>4.0999999999999996</v>
      </c>
      <c r="E8" s="519">
        <v>1000</v>
      </c>
      <c r="F8" s="520">
        <f t="shared" ref="F8:F38" si="0">D8/E8</f>
        <v>4.0999999999999995E-3</v>
      </c>
      <c r="G8" s="521">
        <v>0.69</v>
      </c>
      <c r="H8" s="519">
        <v>10</v>
      </c>
      <c r="I8" s="522">
        <f t="shared" ref="I8:I9" si="1">G8/H8</f>
        <v>6.8999999999999992E-2</v>
      </c>
      <c r="J8" s="523">
        <v>0.05</v>
      </c>
      <c r="K8" s="519" t="s">
        <v>24</v>
      </c>
      <c r="L8" s="522" t="s">
        <v>25</v>
      </c>
      <c r="M8" s="344"/>
      <c r="N8" s="344"/>
      <c r="O8" s="223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">
      <c r="A9" s="524">
        <v>2002</v>
      </c>
      <c r="B9" s="517" t="s">
        <v>23</v>
      </c>
      <c r="C9" s="525" t="s">
        <v>239</v>
      </c>
      <c r="D9" s="526">
        <v>6.7</v>
      </c>
      <c r="E9" s="526">
        <v>5000</v>
      </c>
      <c r="F9" s="527">
        <f t="shared" si="0"/>
        <v>1.34E-3</v>
      </c>
      <c r="G9" s="528">
        <v>0.5</v>
      </c>
      <c r="H9" s="526">
        <v>10</v>
      </c>
      <c r="I9" s="529">
        <f t="shared" si="1"/>
        <v>0.05</v>
      </c>
      <c r="J9" s="530">
        <v>0.05</v>
      </c>
      <c r="K9" s="526" t="s">
        <v>24</v>
      </c>
      <c r="L9" s="529" t="s">
        <v>25</v>
      </c>
      <c r="M9" s="344"/>
      <c r="N9" s="344"/>
      <c r="O9" s="223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">
      <c r="A10" s="524">
        <v>2003</v>
      </c>
      <c r="B10" s="517" t="s">
        <v>23</v>
      </c>
      <c r="C10" s="525" t="s">
        <v>240</v>
      </c>
      <c r="D10" s="526">
        <v>40</v>
      </c>
      <c r="E10" s="526">
        <v>1000</v>
      </c>
      <c r="F10" s="527">
        <f t="shared" si="0"/>
        <v>0.04</v>
      </c>
      <c r="G10" s="528">
        <v>1.35</v>
      </c>
      <c r="H10" s="526">
        <v>10</v>
      </c>
      <c r="I10" s="529">
        <f>G10/H10</f>
        <v>0.13500000000000001</v>
      </c>
      <c r="J10" s="530">
        <v>0.05</v>
      </c>
      <c r="K10" s="526" t="s">
        <v>24</v>
      </c>
      <c r="L10" s="529" t="s">
        <v>27</v>
      </c>
      <c r="M10" s="344"/>
      <c r="N10" s="344"/>
      <c r="O10" s="223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">
      <c r="A11" s="524">
        <v>2004</v>
      </c>
      <c r="B11" s="517" t="s">
        <v>23</v>
      </c>
      <c r="C11" s="525" t="s">
        <v>644</v>
      </c>
      <c r="D11" s="526">
        <v>8.64</v>
      </c>
      <c r="E11" s="526">
        <v>1000</v>
      </c>
      <c r="F11" s="527">
        <f t="shared" si="0"/>
        <v>8.6400000000000001E-3</v>
      </c>
      <c r="G11" s="528">
        <v>0.95</v>
      </c>
      <c r="H11" s="526">
        <v>10</v>
      </c>
      <c r="I11" s="529">
        <f>G11/H11</f>
        <v>9.5000000000000001E-2</v>
      </c>
      <c r="J11" s="530">
        <v>0.05</v>
      </c>
      <c r="K11" s="526" t="s">
        <v>24</v>
      </c>
      <c r="L11" s="529" t="s">
        <v>26</v>
      </c>
      <c r="M11" s="344"/>
      <c r="N11" s="344"/>
      <c r="O11" s="223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">
      <c r="A12" s="524">
        <v>2005</v>
      </c>
      <c r="B12" s="517" t="s">
        <v>23</v>
      </c>
      <c r="C12" s="525" t="s">
        <v>645</v>
      </c>
      <c r="D12" s="526">
        <v>2.8</v>
      </c>
      <c r="E12" s="526">
        <v>1000</v>
      </c>
      <c r="F12" s="527">
        <f t="shared" si="0"/>
        <v>2.8E-3</v>
      </c>
      <c r="G12" s="528">
        <v>0.39100000000000001</v>
      </c>
      <c r="H12" s="526">
        <v>10</v>
      </c>
      <c r="I12" s="529">
        <f t="shared" ref="I12:I13" si="2">G12/H12</f>
        <v>3.9100000000000003E-2</v>
      </c>
      <c r="J12" s="530">
        <v>0.05</v>
      </c>
      <c r="K12" s="526" t="s">
        <v>24</v>
      </c>
      <c r="L12" s="529" t="s">
        <v>27</v>
      </c>
      <c r="M12" s="343"/>
      <c r="N12" s="343"/>
      <c r="O12" s="222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">
      <c r="A13" s="524">
        <v>2006</v>
      </c>
      <c r="B13" s="517" t="s">
        <v>23</v>
      </c>
      <c r="C13" s="525" t="s">
        <v>646</v>
      </c>
      <c r="D13" s="526">
        <v>15</v>
      </c>
      <c r="E13" s="526">
        <v>1000</v>
      </c>
      <c r="F13" s="527">
        <f t="shared" si="0"/>
        <v>1.4999999999999999E-2</v>
      </c>
      <c r="G13" s="528">
        <v>0.41899999999999998</v>
      </c>
      <c r="H13" s="526">
        <v>10</v>
      </c>
      <c r="I13" s="529">
        <f t="shared" si="2"/>
        <v>4.19E-2</v>
      </c>
      <c r="J13" s="530">
        <v>0.05</v>
      </c>
      <c r="K13" s="526" t="s">
        <v>24</v>
      </c>
      <c r="L13" s="529" t="s">
        <v>27</v>
      </c>
      <c r="M13" s="343"/>
      <c r="N13" s="343"/>
      <c r="O13" s="22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">
      <c r="A14" s="524">
        <v>2007</v>
      </c>
      <c r="B14" s="517" t="s">
        <v>23</v>
      </c>
      <c r="C14" s="525" t="s">
        <v>647</v>
      </c>
      <c r="D14" s="526">
        <v>27</v>
      </c>
      <c r="E14" s="526">
        <v>1000</v>
      </c>
      <c r="F14" s="527">
        <f t="shared" si="0"/>
        <v>2.7E-2</v>
      </c>
      <c r="G14" s="528">
        <v>0.2</v>
      </c>
      <c r="H14" s="526">
        <v>10</v>
      </c>
      <c r="I14" s="529">
        <f>G14/H14</f>
        <v>0.02</v>
      </c>
      <c r="J14" s="530">
        <v>0.05</v>
      </c>
      <c r="K14" s="526" t="s">
        <v>24</v>
      </c>
      <c r="L14" s="529" t="s">
        <v>27</v>
      </c>
      <c r="M14" s="344"/>
      <c r="N14" s="344"/>
      <c r="O14" s="223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">
      <c r="A15" s="524">
        <v>2008</v>
      </c>
      <c r="B15" s="517" t="s">
        <v>23</v>
      </c>
      <c r="C15" s="525" t="s">
        <v>241</v>
      </c>
      <c r="D15" s="526">
        <v>7.1</v>
      </c>
      <c r="E15" s="526">
        <v>1000</v>
      </c>
      <c r="F15" s="527">
        <f t="shared" si="0"/>
        <v>7.0999999999999995E-3</v>
      </c>
      <c r="G15" s="528">
        <v>1.9</v>
      </c>
      <c r="H15" s="526">
        <v>50</v>
      </c>
      <c r="I15" s="529">
        <f>G15/H15</f>
        <v>3.7999999999999999E-2</v>
      </c>
      <c r="J15" s="530">
        <v>0.05</v>
      </c>
      <c r="K15" s="526" t="s">
        <v>24</v>
      </c>
      <c r="L15" s="529" t="s">
        <v>26</v>
      </c>
      <c r="M15" s="344"/>
      <c r="N15" s="344"/>
      <c r="O15" s="223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">
      <c r="A16" s="524">
        <v>2009</v>
      </c>
      <c r="B16" s="517" t="s">
        <v>23</v>
      </c>
      <c r="C16" s="525" t="s">
        <v>242</v>
      </c>
      <c r="D16" s="526">
        <v>4.5999999999999996</v>
      </c>
      <c r="E16" s="526">
        <v>1000</v>
      </c>
      <c r="F16" s="527">
        <f t="shared" si="0"/>
        <v>4.5999999999999999E-3</v>
      </c>
      <c r="G16" s="528">
        <v>0.14000000000000001</v>
      </c>
      <c r="H16" s="526">
        <v>10</v>
      </c>
      <c r="I16" s="529">
        <f>G16/H16</f>
        <v>1.4000000000000002E-2</v>
      </c>
      <c r="J16" s="530">
        <v>0.05</v>
      </c>
      <c r="K16" s="526" t="s">
        <v>24</v>
      </c>
      <c r="L16" s="529" t="s">
        <v>27</v>
      </c>
      <c r="M16" s="343"/>
      <c r="N16" s="343"/>
      <c r="O16" s="222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">
      <c r="A17" s="524">
        <v>2010</v>
      </c>
      <c r="B17" s="517" t="s">
        <v>23</v>
      </c>
      <c r="C17" s="525" t="s">
        <v>648</v>
      </c>
      <c r="D17" s="526">
        <v>0.56999999999999995</v>
      </c>
      <c r="E17" s="526">
        <v>10000</v>
      </c>
      <c r="F17" s="527">
        <f t="shared" si="0"/>
        <v>5.6999999999999996E-5</v>
      </c>
      <c r="G17" s="528"/>
      <c r="H17" s="526"/>
      <c r="I17" s="529">
        <f t="shared" ref="I17:I23" si="3">F17</f>
        <v>5.6999999999999996E-5</v>
      </c>
      <c r="J17" s="530">
        <v>0.05</v>
      </c>
      <c r="K17" s="526" t="s">
        <v>24</v>
      </c>
      <c r="L17" s="529" t="s">
        <v>27</v>
      </c>
      <c r="M17" s="344"/>
      <c r="N17" s="344"/>
      <c r="O17" s="22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">
      <c r="A18" s="524">
        <v>2011</v>
      </c>
      <c r="B18" s="517" t="s">
        <v>23</v>
      </c>
      <c r="C18" s="525" t="s">
        <v>243</v>
      </c>
      <c r="D18" s="526">
        <v>18</v>
      </c>
      <c r="E18" s="526">
        <v>1000</v>
      </c>
      <c r="F18" s="527">
        <f t="shared" si="0"/>
        <v>1.7999999999999999E-2</v>
      </c>
      <c r="G18" s="528"/>
      <c r="H18" s="526"/>
      <c r="I18" s="529">
        <f t="shared" si="3"/>
        <v>1.7999999999999999E-2</v>
      </c>
      <c r="J18" s="530">
        <v>0.05</v>
      </c>
      <c r="K18" s="526" t="s">
        <v>24</v>
      </c>
      <c r="L18" s="529" t="s">
        <v>26</v>
      </c>
      <c r="M18" s="344"/>
      <c r="N18" s="344"/>
      <c r="O18" s="223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">
      <c r="A19" s="524">
        <v>2012</v>
      </c>
      <c r="B19" s="517" t="s">
        <v>23</v>
      </c>
      <c r="C19" s="525" t="s">
        <v>244</v>
      </c>
      <c r="D19" s="526">
        <v>2</v>
      </c>
      <c r="E19" s="526">
        <v>1000</v>
      </c>
      <c r="F19" s="527">
        <f t="shared" si="0"/>
        <v>2E-3</v>
      </c>
      <c r="G19" s="528"/>
      <c r="H19" s="526"/>
      <c r="I19" s="529">
        <f t="shared" si="3"/>
        <v>2E-3</v>
      </c>
      <c r="J19" s="530">
        <v>0.05</v>
      </c>
      <c r="K19" s="526" t="s">
        <v>24</v>
      </c>
      <c r="L19" s="529" t="s">
        <v>26</v>
      </c>
      <c r="M19" s="344"/>
      <c r="N19" s="344"/>
      <c r="O19" s="22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">
      <c r="A20" s="524">
        <v>2013</v>
      </c>
      <c r="B20" s="517" t="s">
        <v>23</v>
      </c>
      <c r="C20" s="525" t="s">
        <v>245</v>
      </c>
      <c r="D20" s="526">
        <v>0.73</v>
      </c>
      <c r="E20" s="526">
        <v>1000</v>
      </c>
      <c r="F20" s="527">
        <f t="shared" si="0"/>
        <v>7.2999999999999996E-4</v>
      </c>
      <c r="G20" s="528"/>
      <c r="H20" s="526"/>
      <c r="I20" s="529">
        <f t="shared" si="3"/>
        <v>7.2999999999999996E-4</v>
      </c>
      <c r="J20" s="530">
        <v>0.05</v>
      </c>
      <c r="K20" s="526" t="s">
        <v>24</v>
      </c>
      <c r="L20" s="529" t="s">
        <v>26</v>
      </c>
      <c r="M20" s="344"/>
      <c r="N20" s="344"/>
      <c r="O20" s="22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">
      <c r="A21" s="524">
        <v>2014</v>
      </c>
      <c r="B21" s="517" t="s">
        <v>23</v>
      </c>
      <c r="C21" s="525" t="s">
        <v>246</v>
      </c>
      <c r="D21" s="526">
        <v>100</v>
      </c>
      <c r="E21" s="526">
        <v>1000</v>
      </c>
      <c r="F21" s="527">
        <f t="shared" si="0"/>
        <v>0.1</v>
      </c>
      <c r="G21" s="528"/>
      <c r="H21" s="526"/>
      <c r="I21" s="529">
        <f t="shared" si="3"/>
        <v>0.1</v>
      </c>
      <c r="J21" s="530">
        <v>0.05</v>
      </c>
      <c r="K21" s="526" t="s">
        <v>24</v>
      </c>
      <c r="L21" s="529" t="s">
        <v>26</v>
      </c>
      <c r="M21" s="343"/>
      <c r="N21" s="343"/>
      <c r="O21" s="22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">
      <c r="A22" s="524">
        <v>2015</v>
      </c>
      <c r="B22" s="517" t="s">
        <v>23</v>
      </c>
      <c r="C22" s="525" t="s">
        <v>247</v>
      </c>
      <c r="D22" s="526">
        <v>6.6</v>
      </c>
      <c r="E22" s="526">
        <v>1000</v>
      </c>
      <c r="F22" s="527">
        <f t="shared" si="0"/>
        <v>6.6E-3</v>
      </c>
      <c r="G22" s="528"/>
      <c r="H22" s="526"/>
      <c r="I22" s="529">
        <f t="shared" si="3"/>
        <v>6.6E-3</v>
      </c>
      <c r="J22" s="530">
        <v>0.05</v>
      </c>
      <c r="K22" s="526" t="s">
        <v>24</v>
      </c>
      <c r="L22" s="529" t="s">
        <v>26</v>
      </c>
      <c r="M22" s="343"/>
      <c r="N22" s="343"/>
      <c r="O22" s="222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">
      <c r="A23" s="524">
        <v>2016</v>
      </c>
      <c r="B23" s="517" t="s">
        <v>23</v>
      </c>
      <c r="C23" s="525" t="s">
        <v>248</v>
      </c>
      <c r="D23" s="526">
        <v>0.88</v>
      </c>
      <c r="E23" s="526">
        <v>1000</v>
      </c>
      <c r="F23" s="527">
        <f t="shared" si="0"/>
        <v>8.8000000000000003E-4</v>
      </c>
      <c r="G23" s="528"/>
      <c r="H23" s="526"/>
      <c r="I23" s="529">
        <f t="shared" si="3"/>
        <v>8.8000000000000003E-4</v>
      </c>
      <c r="J23" s="530">
        <v>0.05</v>
      </c>
      <c r="K23" s="526" t="s">
        <v>24</v>
      </c>
      <c r="L23" s="529" t="s">
        <v>26</v>
      </c>
      <c r="M23" s="343"/>
      <c r="N23" s="343"/>
      <c r="O23" s="222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">
      <c r="A24" s="524">
        <v>2017</v>
      </c>
      <c r="B24" s="517" t="s">
        <v>23</v>
      </c>
      <c r="C24" s="525" t="s">
        <v>249</v>
      </c>
      <c r="D24" s="526">
        <v>1.96</v>
      </c>
      <c r="E24" s="526">
        <v>1000</v>
      </c>
      <c r="F24" s="527">
        <f t="shared" si="0"/>
        <v>1.9599999999999999E-3</v>
      </c>
      <c r="G24" s="528"/>
      <c r="H24" s="526"/>
      <c r="I24" s="529">
        <f>F24</f>
        <v>1.9599999999999999E-3</v>
      </c>
      <c r="J24" s="530">
        <v>0.5</v>
      </c>
      <c r="K24" s="526" t="s">
        <v>28</v>
      </c>
      <c r="L24" s="529" t="s">
        <v>26</v>
      </c>
      <c r="M24" s="343"/>
      <c r="N24" s="343"/>
      <c r="O24" s="222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">
      <c r="A25" s="531">
        <v>2018</v>
      </c>
      <c r="B25" s="517" t="s">
        <v>23</v>
      </c>
      <c r="C25" s="532" t="s">
        <v>649</v>
      </c>
      <c r="D25" s="526">
        <v>10</v>
      </c>
      <c r="E25" s="526">
        <v>1000</v>
      </c>
      <c r="F25" s="527">
        <v>0.01</v>
      </c>
      <c r="G25" s="528"/>
      <c r="H25" s="526"/>
      <c r="I25" s="529">
        <v>0.01</v>
      </c>
      <c r="J25" s="530">
        <v>0.05</v>
      </c>
      <c r="K25" s="526" t="s">
        <v>24</v>
      </c>
      <c r="L25" s="529" t="s">
        <v>26</v>
      </c>
      <c r="M25" s="343"/>
      <c r="N25" s="343"/>
      <c r="O25" s="222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531">
        <v>2019</v>
      </c>
      <c r="B26" s="517" t="s">
        <v>23</v>
      </c>
      <c r="C26" s="532" t="s">
        <v>650</v>
      </c>
      <c r="D26" s="526">
        <v>6.1</v>
      </c>
      <c r="E26" s="526">
        <v>1000</v>
      </c>
      <c r="F26" s="527">
        <f t="shared" ref="F26:F29" si="4">D26/E26</f>
        <v>6.0999999999999995E-3</v>
      </c>
      <c r="G26" s="528"/>
      <c r="H26" s="526"/>
      <c r="I26" s="529">
        <f>F26</f>
        <v>6.0999999999999995E-3</v>
      </c>
      <c r="J26" s="530">
        <v>0.05</v>
      </c>
      <c r="K26" s="526" t="s">
        <v>24</v>
      </c>
      <c r="L26" s="529" t="s">
        <v>26</v>
      </c>
      <c r="M26" s="343"/>
      <c r="N26" s="343"/>
      <c r="O26" s="222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6" x14ac:dyDescent="0.2">
      <c r="A27" s="533">
        <v>2020</v>
      </c>
      <c r="B27" s="517" t="s">
        <v>23</v>
      </c>
      <c r="C27" s="534" t="s">
        <v>651</v>
      </c>
      <c r="D27" s="526">
        <v>10</v>
      </c>
      <c r="E27" s="526">
        <v>1000</v>
      </c>
      <c r="F27" s="527">
        <f t="shared" si="4"/>
        <v>0.01</v>
      </c>
      <c r="G27" s="528"/>
      <c r="H27" s="526"/>
      <c r="I27" s="529">
        <f>F27</f>
        <v>0.01</v>
      </c>
      <c r="J27" s="530">
        <v>0.05</v>
      </c>
      <c r="K27" s="526" t="s">
        <v>24</v>
      </c>
      <c r="L27" s="529" t="s">
        <v>26</v>
      </c>
      <c r="M27" s="343"/>
      <c r="N27" s="343"/>
      <c r="O27" s="222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">
      <c r="A28" s="524">
        <v>2021</v>
      </c>
      <c r="B28" s="517" t="s">
        <v>23</v>
      </c>
      <c r="C28" s="525" t="s">
        <v>250</v>
      </c>
      <c r="D28" s="526">
        <v>9</v>
      </c>
      <c r="E28" s="526">
        <v>10000</v>
      </c>
      <c r="F28" s="527">
        <f t="shared" si="4"/>
        <v>8.9999999999999998E-4</v>
      </c>
      <c r="G28" s="528">
        <v>0.25</v>
      </c>
      <c r="H28" s="526">
        <v>50</v>
      </c>
      <c r="I28" s="529">
        <f>G28/H28</f>
        <v>5.0000000000000001E-3</v>
      </c>
      <c r="J28" s="530">
        <v>0.05</v>
      </c>
      <c r="K28" s="526" t="s">
        <v>24</v>
      </c>
      <c r="L28" s="529" t="s">
        <v>25</v>
      </c>
      <c r="M28" s="344"/>
      <c r="N28" s="344"/>
      <c r="O28" s="223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">
      <c r="A29" s="524">
        <v>2022</v>
      </c>
      <c r="B29" s="517" t="s">
        <v>23</v>
      </c>
      <c r="C29" s="525" t="s">
        <v>251</v>
      </c>
      <c r="D29" s="526">
        <v>0.80649999999999999</v>
      </c>
      <c r="E29" s="526">
        <v>1000</v>
      </c>
      <c r="F29" s="527">
        <f t="shared" si="4"/>
        <v>8.0650000000000003E-4</v>
      </c>
      <c r="G29" s="528">
        <v>0.23</v>
      </c>
      <c r="H29" s="526">
        <v>50</v>
      </c>
      <c r="I29" s="529">
        <f>G29/H29</f>
        <v>4.5999999999999999E-3</v>
      </c>
      <c r="J29" s="530">
        <v>0.05</v>
      </c>
      <c r="K29" s="526" t="s">
        <v>24</v>
      </c>
      <c r="L29" s="529" t="s">
        <v>25</v>
      </c>
      <c r="M29" s="344"/>
      <c r="N29" s="344"/>
      <c r="O29" s="223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">
      <c r="A30" s="524">
        <v>2023</v>
      </c>
      <c r="B30" s="517" t="s">
        <v>23</v>
      </c>
      <c r="C30" s="525" t="s">
        <v>252</v>
      </c>
      <c r="D30" s="526">
        <v>3.3</v>
      </c>
      <c r="E30" s="526">
        <v>10000</v>
      </c>
      <c r="F30" s="527">
        <f>D30/E30</f>
        <v>3.3E-4</v>
      </c>
      <c r="G30" s="528">
        <v>1.2</v>
      </c>
      <c r="H30" s="526">
        <v>50</v>
      </c>
      <c r="I30" s="529">
        <f>G30/H30</f>
        <v>2.4E-2</v>
      </c>
      <c r="J30" s="530">
        <v>0.05</v>
      </c>
      <c r="K30" s="526" t="s">
        <v>24</v>
      </c>
      <c r="L30" s="529" t="s">
        <v>25</v>
      </c>
      <c r="M30" s="343"/>
      <c r="N30" s="343"/>
      <c r="O30" s="222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">
      <c r="A31" s="524">
        <v>2024</v>
      </c>
      <c r="B31" s="517" t="s">
        <v>23</v>
      </c>
      <c r="C31" s="525" t="s">
        <v>253</v>
      </c>
      <c r="D31" s="526">
        <v>0.5</v>
      </c>
      <c r="E31" s="526">
        <v>5000</v>
      </c>
      <c r="F31" s="527">
        <f t="shared" si="0"/>
        <v>1E-4</v>
      </c>
      <c r="G31" s="528"/>
      <c r="H31" s="526"/>
      <c r="I31" s="529">
        <f>F31</f>
        <v>1E-4</v>
      </c>
      <c r="J31" s="530">
        <v>0.05</v>
      </c>
      <c r="K31" s="526" t="s">
        <v>24</v>
      </c>
      <c r="L31" s="529" t="s">
        <v>25</v>
      </c>
      <c r="M31" s="344"/>
      <c r="N31" s="344"/>
      <c r="O31" s="223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">
      <c r="A32" s="531">
        <v>2025</v>
      </c>
      <c r="B32" s="517" t="s">
        <v>23</v>
      </c>
      <c r="C32" s="525" t="s">
        <v>652</v>
      </c>
      <c r="D32" s="526">
        <v>22</v>
      </c>
      <c r="E32" s="526">
        <v>1000</v>
      </c>
      <c r="F32" s="527">
        <f t="shared" si="0"/>
        <v>2.1999999999999999E-2</v>
      </c>
      <c r="G32" s="528">
        <v>10</v>
      </c>
      <c r="H32" s="526">
        <v>100</v>
      </c>
      <c r="I32" s="529">
        <f t="shared" ref="I32" si="5">G32/H32</f>
        <v>0.1</v>
      </c>
      <c r="J32" s="530">
        <v>0.05</v>
      </c>
      <c r="K32" s="526" t="s">
        <v>24</v>
      </c>
      <c r="L32" s="529" t="s">
        <v>27</v>
      </c>
      <c r="M32" s="343"/>
      <c r="N32" s="343"/>
      <c r="O32" s="222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">
      <c r="A33" s="524">
        <v>2026</v>
      </c>
      <c r="B33" s="517" t="s">
        <v>23</v>
      </c>
      <c r="C33" s="525" t="s">
        <v>29</v>
      </c>
      <c r="D33" s="526">
        <v>56</v>
      </c>
      <c r="E33" s="526">
        <v>10000</v>
      </c>
      <c r="F33" s="527">
        <f t="shared" si="0"/>
        <v>5.5999999999999999E-3</v>
      </c>
      <c r="G33" s="528"/>
      <c r="H33" s="526"/>
      <c r="I33" s="529">
        <f>F33</f>
        <v>5.5999999999999999E-3</v>
      </c>
      <c r="J33" s="530">
        <v>0.05</v>
      </c>
      <c r="K33" s="526" t="s">
        <v>24</v>
      </c>
      <c r="L33" s="529" t="s">
        <v>27</v>
      </c>
      <c r="M33" s="344"/>
      <c r="N33" s="344"/>
      <c r="O33" s="223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">
      <c r="A34" s="524">
        <v>2027</v>
      </c>
      <c r="B34" s="517" t="s">
        <v>23</v>
      </c>
      <c r="C34" s="525" t="s">
        <v>254</v>
      </c>
      <c r="D34" s="526">
        <v>100</v>
      </c>
      <c r="E34" s="526">
        <v>10000</v>
      </c>
      <c r="F34" s="527">
        <f t="shared" si="0"/>
        <v>0.01</v>
      </c>
      <c r="G34" s="528"/>
      <c r="H34" s="526"/>
      <c r="I34" s="529">
        <f>F34</f>
        <v>0.01</v>
      </c>
      <c r="J34" s="530">
        <v>0.05</v>
      </c>
      <c r="K34" s="526" t="s">
        <v>24</v>
      </c>
      <c r="L34" s="529" t="s">
        <v>26</v>
      </c>
      <c r="M34" s="344"/>
      <c r="N34" s="344"/>
      <c r="O34" s="223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A35" s="524">
        <v>2028</v>
      </c>
      <c r="B35" s="517" t="s">
        <v>23</v>
      </c>
      <c r="C35" s="525" t="s">
        <v>653</v>
      </c>
      <c r="D35" s="526">
        <v>8.8000000000000007</v>
      </c>
      <c r="E35" s="526">
        <v>1000</v>
      </c>
      <c r="F35" s="527">
        <f t="shared" si="0"/>
        <v>8.8000000000000005E-3</v>
      </c>
      <c r="G35" s="528">
        <v>5</v>
      </c>
      <c r="H35" s="526">
        <v>100</v>
      </c>
      <c r="I35" s="529">
        <f>G35/H35</f>
        <v>0.05</v>
      </c>
      <c r="J35" s="530">
        <v>0.05</v>
      </c>
      <c r="K35" s="526" t="s">
        <v>24</v>
      </c>
      <c r="L35" s="529" t="s">
        <v>26</v>
      </c>
      <c r="M35" s="344"/>
      <c r="N35" s="344"/>
      <c r="O35" s="223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">
      <c r="A36" s="524">
        <v>2029</v>
      </c>
      <c r="B36" s="517" t="s">
        <v>23</v>
      </c>
      <c r="C36" s="525" t="s">
        <v>255</v>
      </c>
      <c r="D36" s="526">
        <v>38</v>
      </c>
      <c r="E36" s="526">
        <v>1000</v>
      </c>
      <c r="F36" s="527">
        <f t="shared" si="0"/>
        <v>3.7999999999999999E-2</v>
      </c>
      <c r="G36" s="528"/>
      <c r="H36" s="526"/>
      <c r="I36" s="529">
        <f t="shared" ref="I36:I38" si="6">F36</f>
        <v>3.7999999999999999E-2</v>
      </c>
      <c r="J36" s="530">
        <v>0.05</v>
      </c>
      <c r="K36" s="526" t="s">
        <v>24</v>
      </c>
      <c r="L36" s="529" t="s">
        <v>25</v>
      </c>
      <c r="M36" s="344"/>
      <c r="N36" s="344"/>
      <c r="O36" s="223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">
      <c r="A37" s="516">
        <v>2030</v>
      </c>
      <c r="B37" s="517" t="s">
        <v>23</v>
      </c>
      <c r="C37" s="518" t="s">
        <v>654</v>
      </c>
      <c r="D37" s="523">
        <v>0.1</v>
      </c>
      <c r="E37" s="519">
        <v>1000</v>
      </c>
      <c r="F37" s="520">
        <f t="shared" si="0"/>
        <v>1E-4</v>
      </c>
      <c r="G37" s="521">
        <v>0.32</v>
      </c>
      <c r="H37" s="519">
        <v>100</v>
      </c>
      <c r="I37" s="522">
        <f>G37/H37</f>
        <v>3.2000000000000002E-3</v>
      </c>
      <c r="J37" s="523">
        <v>0.5</v>
      </c>
      <c r="K37" s="519" t="s">
        <v>28</v>
      </c>
      <c r="L37" s="522" t="s">
        <v>26</v>
      </c>
      <c r="M37" s="344"/>
      <c r="N37" s="344"/>
      <c r="O37" s="223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">
      <c r="A38" s="524">
        <v>2031</v>
      </c>
      <c r="B38" s="517" t="s">
        <v>23</v>
      </c>
      <c r="C38" s="525" t="s">
        <v>256</v>
      </c>
      <c r="D38" s="530">
        <v>238</v>
      </c>
      <c r="E38" s="526">
        <v>1000</v>
      </c>
      <c r="F38" s="527">
        <f t="shared" si="0"/>
        <v>0.23799999999999999</v>
      </c>
      <c r="G38" s="528"/>
      <c r="H38" s="526"/>
      <c r="I38" s="529">
        <f t="shared" si="6"/>
        <v>0.23799999999999999</v>
      </c>
      <c r="J38" s="530">
        <v>0.05</v>
      </c>
      <c r="K38" s="526" t="s">
        <v>24</v>
      </c>
      <c r="L38" s="529" t="s">
        <v>27</v>
      </c>
      <c r="M38" s="344"/>
      <c r="N38" s="344"/>
      <c r="O38" s="223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" thickBot="1" x14ac:dyDescent="0.25">
      <c r="A39" s="535">
        <v>2032</v>
      </c>
      <c r="B39" s="536" t="s">
        <v>23</v>
      </c>
      <c r="C39" s="537" t="s">
        <v>257</v>
      </c>
      <c r="D39" s="538">
        <v>25.1</v>
      </c>
      <c r="E39" s="539">
        <v>1000</v>
      </c>
      <c r="F39" s="540">
        <f>D39/E39</f>
        <v>2.5100000000000001E-2</v>
      </c>
      <c r="G39" s="541">
        <v>12.5</v>
      </c>
      <c r="H39" s="539">
        <v>50</v>
      </c>
      <c r="I39" s="542">
        <f>G39/H39</f>
        <v>0.25</v>
      </c>
      <c r="J39" s="538">
        <v>0.05</v>
      </c>
      <c r="K39" s="539" t="s">
        <v>24</v>
      </c>
      <c r="L39" s="542" t="s">
        <v>27</v>
      </c>
      <c r="M39" s="344"/>
      <c r="N39" s="344"/>
      <c r="O39" s="223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">
      <c r="A40" s="543">
        <v>2107</v>
      </c>
      <c r="B40" s="516" t="s">
        <v>1007</v>
      </c>
      <c r="C40" s="544" t="s">
        <v>657</v>
      </c>
      <c r="D40" s="528">
        <v>37.299999999999997</v>
      </c>
      <c r="E40" s="526">
        <v>5000</v>
      </c>
      <c r="F40" s="529">
        <f t="shared" ref="F40:F64" si="7">D40/E40</f>
        <v>7.4599999999999996E-3</v>
      </c>
      <c r="G40" s="528">
        <v>1.5</v>
      </c>
      <c r="H40" s="526">
        <v>10</v>
      </c>
      <c r="I40" s="529">
        <f>G40/H40</f>
        <v>0.15</v>
      </c>
      <c r="J40" s="528">
        <v>0.05</v>
      </c>
      <c r="K40" s="526" t="s">
        <v>24</v>
      </c>
      <c r="L40" s="529" t="s">
        <v>26</v>
      </c>
      <c r="M40" s="343"/>
      <c r="N40" s="343"/>
      <c r="O40" s="222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2">
      <c r="A41" s="543">
        <v>2108</v>
      </c>
      <c r="B41" s="516" t="s">
        <v>1007</v>
      </c>
      <c r="C41" s="544" t="s">
        <v>658</v>
      </c>
      <c r="D41" s="528">
        <v>5</v>
      </c>
      <c r="E41" s="526">
        <v>1000</v>
      </c>
      <c r="F41" s="529">
        <f t="shared" si="7"/>
        <v>5.0000000000000001E-3</v>
      </c>
      <c r="G41" s="528">
        <v>1.5</v>
      </c>
      <c r="H41" s="526">
        <v>10</v>
      </c>
      <c r="I41" s="529">
        <v>0.15</v>
      </c>
      <c r="J41" s="528">
        <v>0.05</v>
      </c>
      <c r="K41" s="526" t="s">
        <v>24</v>
      </c>
      <c r="L41" s="529" t="s">
        <v>27</v>
      </c>
      <c r="M41" s="343"/>
      <c r="N41" s="343"/>
      <c r="O41" s="222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2">
      <c r="A42" s="543">
        <v>2112</v>
      </c>
      <c r="B42" s="516" t="s">
        <v>1007</v>
      </c>
      <c r="C42" s="544" t="s">
        <v>662</v>
      </c>
      <c r="D42" s="528">
        <v>0.23</v>
      </c>
      <c r="E42" s="526">
        <v>1000</v>
      </c>
      <c r="F42" s="529">
        <f t="shared" si="7"/>
        <v>2.3000000000000001E-4</v>
      </c>
      <c r="G42" s="528">
        <v>0.18</v>
      </c>
      <c r="H42" s="526">
        <v>100</v>
      </c>
      <c r="I42" s="529">
        <f t="shared" ref="I42:I47" si="8">G42/H42</f>
        <v>1.8E-3</v>
      </c>
      <c r="J42" s="528">
        <v>0.05</v>
      </c>
      <c r="K42" s="526" t="s">
        <v>24</v>
      </c>
      <c r="L42" s="529" t="s">
        <v>26</v>
      </c>
      <c r="M42" s="343"/>
      <c r="N42" s="343"/>
      <c r="O42" s="222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2">
      <c r="A43" s="543">
        <v>2113</v>
      </c>
      <c r="B43" s="516" t="s">
        <v>1007</v>
      </c>
      <c r="C43" s="544" t="s">
        <v>663</v>
      </c>
      <c r="D43" s="528">
        <v>1</v>
      </c>
      <c r="E43" s="526">
        <v>1000</v>
      </c>
      <c r="F43" s="529">
        <f t="shared" si="7"/>
        <v>1E-3</v>
      </c>
      <c r="G43" s="528">
        <v>0.74</v>
      </c>
      <c r="H43" s="526">
        <v>10</v>
      </c>
      <c r="I43" s="529">
        <f t="shared" si="8"/>
        <v>7.3999999999999996E-2</v>
      </c>
      <c r="J43" s="528">
        <v>0.05</v>
      </c>
      <c r="K43" s="526" t="s">
        <v>24</v>
      </c>
      <c r="L43" s="529" t="s">
        <v>26</v>
      </c>
      <c r="M43" s="343"/>
      <c r="N43" s="343"/>
      <c r="O43" s="222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2">
      <c r="A44" s="543">
        <v>2114</v>
      </c>
      <c r="B44" s="516" t="s">
        <v>1007</v>
      </c>
      <c r="C44" s="544" t="s">
        <v>664</v>
      </c>
      <c r="D44" s="528">
        <v>1</v>
      </c>
      <c r="E44" s="526">
        <v>1000</v>
      </c>
      <c r="F44" s="529">
        <f t="shared" si="7"/>
        <v>1E-3</v>
      </c>
      <c r="G44" s="528">
        <v>0.6</v>
      </c>
      <c r="H44" s="526">
        <v>10</v>
      </c>
      <c r="I44" s="529">
        <f t="shared" si="8"/>
        <v>0.06</v>
      </c>
      <c r="J44" s="528">
        <v>0.05</v>
      </c>
      <c r="K44" s="526" t="s">
        <v>24</v>
      </c>
      <c r="L44" s="529" t="s">
        <v>26</v>
      </c>
      <c r="M44" s="343"/>
      <c r="N44" s="343"/>
      <c r="O44" s="222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2">
      <c r="A45" s="543">
        <v>2115</v>
      </c>
      <c r="B45" s="516" t="s">
        <v>1007</v>
      </c>
      <c r="C45" s="544" t="s">
        <v>665</v>
      </c>
      <c r="D45" s="528">
        <v>1</v>
      </c>
      <c r="E45" s="526">
        <v>1000</v>
      </c>
      <c r="F45" s="529">
        <f t="shared" si="7"/>
        <v>1E-3</v>
      </c>
      <c r="G45" s="528">
        <v>2.5</v>
      </c>
      <c r="H45" s="526">
        <v>10</v>
      </c>
      <c r="I45" s="529">
        <f t="shared" si="8"/>
        <v>0.25</v>
      </c>
      <c r="J45" s="528">
        <v>0.05</v>
      </c>
      <c r="K45" s="526" t="s">
        <v>24</v>
      </c>
      <c r="L45" s="529" t="s">
        <v>26</v>
      </c>
      <c r="M45" s="343"/>
      <c r="N45" s="343"/>
      <c r="O45" s="222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">
      <c r="A46" s="543">
        <v>2130</v>
      </c>
      <c r="B46" s="516" t="s">
        <v>1007</v>
      </c>
      <c r="C46" s="544" t="s">
        <v>258</v>
      </c>
      <c r="D46" s="528">
        <v>0.78</v>
      </c>
      <c r="E46" s="526">
        <v>1000</v>
      </c>
      <c r="F46" s="529">
        <f t="shared" si="7"/>
        <v>7.7999999999999999E-4</v>
      </c>
      <c r="G46" s="528">
        <v>0.36</v>
      </c>
      <c r="H46" s="526">
        <v>100</v>
      </c>
      <c r="I46" s="529">
        <f t="shared" si="8"/>
        <v>3.5999999999999999E-3</v>
      </c>
      <c r="J46" s="528">
        <v>0.05</v>
      </c>
      <c r="K46" s="526" t="s">
        <v>24</v>
      </c>
      <c r="L46" s="545" t="s">
        <v>26</v>
      </c>
      <c r="M46" s="344"/>
      <c r="N46" s="344"/>
      <c r="O46" s="223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2">
      <c r="A47" s="543">
        <v>2131</v>
      </c>
      <c r="B47" s="516" t="s">
        <v>1007</v>
      </c>
      <c r="C47" s="544" t="s">
        <v>679</v>
      </c>
      <c r="D47" s="528">
        <v>3.2</v>
      </c>
      <c r="E47" s="526">
        <v>5000</v>
      </c>
      <c r="F47" s="529">
        <f t="shared" si="7"/>
        <v>6.4000000000000005E-4</v>
      </c>
      <c r="G47" s="528">
        <v>1</v>
      </c>
      <c r="H47" s="526">
        <v>100</v>
      </c>
      <c r="I47" s="529">
        <f t="shared" si="8"/>
        <v>0.01</v>
      </c>
      <c r="J47" s="528">
        <v>0.05</v>
      </c>
      <c r="K47" s="526" t="s">
        <v>24</v>
      </c>
      <c r="L47" s="529" t="s">
        <v>26</v>
      </c>
      <c r="M47" s="343"/>
      <c r="N47" s="343"/>
      <c r="O47" s="222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">
      <c r="A48" s="543">
        <v>2132</v>
      </c>
      <c r="B48" s="516" t="s">
        <v>1007</v>
      </c>
      <c r="C48" s="544" t="s">
        <v>259</v>
      </c>
      <c r="D48" s="528">
        <v>10</v>
      </c>
      <c r="E48" s="526">
        <v>1000</v>
      </c>
      <c r="F48" s="529">
        <f t="shared" si="7"/>
        <v>0.01</v>
      </c>
      <c r="G48" s="528"/>
      <c r="H48" s="526"/>
      <c r="I48" s="529">
        <f>F48</f>
        <v>0.01</v>
      </c>
      <c r="J48" s="528">
        <v>0.05</v>
      </c>
      <c r="K48" s="526" t="s">
        <v>24</v>
      </c>
      <c r="L48" s="529" t="s">
        <v>27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2">
      <c r="A49" s="543">
        <v>2133</v>
      </c>
      <c r="B49" s="516" t="s">
        <v>1007</v>
      </c>
      <c r="C49" s="544" t="s">
        <v>260</v>
      </c>
      <c r="D49" s="528">
        <v>10</v>
      </c>
      <c r="E49" s="526">
        <v>1000</v>
      </c>
      <c r="F49" s="529">
        <f t="shared" si="7"/>
        <v>0.01</v>
      </c>
      <c r="G49" s="528">
        <v>6.25</v>
      </c>
      <c r="H49" s="526">
        <v>50</v>
      </c>
      <c r="I49" s="529">
        <v>0.125</v>
      </c>
      <c r="J49" s="528">
        <v>0.05</v>
      </c>
      <c r="K49" s="526" t="s">
        <v>24</v>
      </c>
      <c r="L49" s="529" t="s">
        <v>27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x14ac:dyDescent="0.2">
      <c r="A50" s="546">
        <v>2134</v>
      </c>
      <c r="B50" s="516" t="s">
        <v>1007</v>
      </c>
      <c r="C50" s="544" t="s">
        <v>680</v>
      </c>
      <c r="D50" s="528">
        <v>28</v>
      </c>
      <c r="E50" s="526">
        <v>1000</v>
      </c>
      <c r="F50" s="529">
        <f t="shared" si="7"/>
        <v>2.8000000000000001E-2</v>
      </c>
      <c r="G50" s="528">
        <v>1.75</v>
      </c>
      <c r="H50" s="526">
        <v>10</v>
      </c>
      <c r="I50" s="529">
        <f t="shared" ref="I50:I51" si="9">G50/H50</f>
        <v>0.17499999999999999</v>
      </c>
      <c r="J50" s="528">
        <v>0.05</v>
      </c>
      <c r="K50" s="526" t="s">
        <v>24</v>
      </c>
      <c r="L50" s="529" t="s">
        <v>27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2">
      <c r="A51" s="543">
        <v>2135</v>
      </c>
      <c r="B51" s="516" t="s">
        <v>1007</v>
      </c>
      <c r="C51" s="544" t="s">
        <v>261</v>
      </c>
      <c r="D51" s="528">
        <v>480</v>
      </c>
      <c r="E51" s="526">
        <v>1000</v>
      </c>
      <c r="F51" s="529">
        <f t="shared" si="7"/>
        <v>0.48</v>
      </c>
      <c r="G51" s="528">
        <v>100</v>
      </c>
      <c r="H51" s="526">
        <v>100</v>
      </c>
      <c r="I51" s="529">
        <f t="shared" si="9"/>
        <v>1</v>
      </c>
      <c r="J51" s="528">
        <v>0.05</v>
      </c>
      <c r="K51" s="526" t="s">
        <v>24</v>
      </c>
      <c r="L51" s="529" t="s">
        <v>25</v>
      </c>
      <c r="M51" s="344"/>
      <c r="N51" s="344"/>
      <c r="O51" s="223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2">
      <c r="A52" s="543">
        <v>2136</v>
      </c>
      <c r="B52" s="516" t="s">
        <v>1007</v>
      </c>
      <c r="C52" s="544" t="s">
        <v>681</v>
      </c>
      <c r="D52" s="528">
        <v>8.6999999999999993</v>
      </c>
      <c r="E52" s="526">
        <v>1000</v>
      </c>
      <c r="F52" s="529">
        <f t="shared" si="7"/>
        <v>8.6999999999999994E-3</v>
      </c>
      <c r="G52" s="528">
        <v>1.75</v>
      </c>
      <c r="H52" s="526">
        <v>10</v>
      </c>
      <c r="I52" s="529">
        <f>G52/H52</f>
        <v>0.17499999999999999</v>
      </c>
      <c r="J52" s="528">
        <v>0.05</v>
      </c>
      <c r="K52" s="526" t="s">
        <v>24</v>
      </c>
      <c r="L52" s="529" t="s">
        <v>27</v>
      </c>
      <c r="M52" s="343"/>
      <c r="N52" s="343"/>
      <c r="O52" s="222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2">
      <c r="A53" s="543">
        <v>2137</v>
      </c>
      <c r="B53" s="516" t="s">
        <v>1007</v>
      </c>
      <c r="C53" s="544" t="s">
        <v>682</v>
      </c>
      <c r="D53" s="528"/>
      <c r="E53" s="526"/>
      <c r="F53" s="529">
        <f>I53</f>
        <v>0.17499999999999999</v>
      </c>
      <c r="G53" s="528">
        <v>1.75</v>
      </c>
      <c r="H53" s="526">
        <v>10</v>
      </c>
      <c r="I53" s="529">
        <f>G53/H53</f>
        <v>0.17499999999999999</v>
      </c>
      <c r="J53" s="528">
        <v>0.05</v>
      </c>
      <c r="K53" s="526" t="s">
        <v>24</v>
      </c>
      <c r="L53" s="529" t="s">
        <v>26</v>
      </c>
      <c r="M53" s="343"/>
      <c r="N53" s="343"/>
      <c r="O53" s="222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2">
      <c r="A54" s="543">
        <v>2138</v>
      </c>
      <c r="B54" s="516" t="s">
        <v>1007</v>
      </c>
      <c r="C54" s="544" t="s">
        <v>262</v>
      </c>
      <c r="D54" s="528">
        <v>9.5</v>
      </c>
      <c r="E54" s="526">
        <v>1000</v>
      </c>
      <c r="F54" s="529">
        <f t="shared" ref="F54" si="10">D54/E54</f>
        <v>9.4999999999999998E-3</v>
      </c>
      <c r="G54" s="528">
        <v>7.0000000000000007E-2</v>
      </c>
      <c r="H54" s="526">
        <v>10</v>
      </c>
      <c r="I54" s="529">
        <f>G54/H54</f>
        <v>7.000000000000001E-3</v>
      </c>
      <c r="J54" s="528">
        <v>0.05</v>
      </c>
      <c r="K54" s="526" t="s">
        <v>24</v>
      </c>
      <c r="L54" s="529" t="s">
        <v>27</v>
      </c>
      <c r="M54" s="343"/>
      <c r="N54" s="343"/>
      <c r="O54" s="222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2">
      <c r="A55" s="543">
        <v>2139</v>
      </c>
      <c r="B55" s="516" t="s">
        <v>1007</v>
      </c>
      <c r="C55" s="544" t="s">
        <v>263</v>
      </c>
      <c r="D55" s="528">
        <v>17</v>
      </c>
      <c r="E55" s="526">
        <v>10000</v>
      </c>
      <c r="F55" s="529">
        <f t="shared" si="7"/>
        <v>1.6999999999999999E-3</v>
      </c>
      <c r="G55" s="528"/>
      <c r="H55" s="526"/>
      <c r="I55" s="529">
        <f>F55</f>
        <v>1.6999999999999999E-3</v>
      </c>
      <c r="J55" s="528">
        <v>0.05</v>
      </c>
      <c r="K55" s="526" t="s">
        <v>24</v>
      </c>
      <c r="L55" s="529" t="s">
        <v>27</v>
      </c>
      <c r="M55" s="343"/>
      <c r="N55" s="343"/>
      <c r="O55" s="222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2">
      <c r="A56" s="543">
        <v>2140</v>
      </c>
      <c r="B56" s="516" t="s">
        <v>1007</v>
      </c>
      <c r="C56" s="544" t="s">
        <v>264</v>
      </c>
      <c r="D56" s="528">
        <v>2</v>
      </c>
      <c r="E56" s="526">
        <v>1000</v>
      </c>
      <c r="F56" s="529">
        <f t="shared" si="7"/>
        <v>2E-3</v>
      </c>
      <c r="G56" s="528">
        <v>7.0000000000000007E-2</v>
      </c>
      <c r="H56" s="526">
        <v>10</v>
      </c>
      <c r="I56" s="529">
        <f>G56/H56</f>
        <v>7.000000000000001E-3</v>
      </c>
      <c r="J56" s="528">
        <v>0.05</v>
      </c>
      <c r="K56" s="526" t="s">
        <v>24</v>
      </c>
      <c r="L56" s="529" t="s">
        <v>27</v>
      </c>
      <c r="M56" s="343"/>
      <c r="N56" s="343"/>
      <c r="O56" s="222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2">
      <c r="A57" s="543">
        <v>2141</v>
      </c>
      <c r="B57" s="516" t="s">
        <v>1007</v>
      </c>
      <c r="C57" s="525" t="s">
        <v>30</v>
      </c>
      <c r="D57" s="530">
        <v>7</v>
      </c>
      <c r="E57" s="526">
        <v>1000</v>
      </c>
      <c r="F57" s="529">
        <f t="shared" si="7"/>
        <v>7.0000000000000001E-3</v>
      </c>
      <c r="G57" s="528"/>
      <c r="H57" s="526"/>
      <c r="I57" s="529">
        <f>F57</f>
        <v>7.0000000000000001E-3</v>
      </c>
      <c r="J57" s="528">
        <v>0.05</v>
      </c>
      <c r="K57" s="526" t="s">
        <v>24</v>
      </c>
      <c r="L57" s="529" t="s">
        <v>27</v>
      </c>
      <c r="M57" s="343"/>
      <c r="N57" s="343"/>
      <c r="O57" s="222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2">
      <c r="A58" s="543">
        <v>2142</v>
      </c>
      <c r="B58" s="516" t="s">
        <v>1007</v>
      </c>
      <c r="C58" s="525" t="s">
        <v>683</v>
      </c>
      <c r="D58" s="530">
        <v>6.4</v>
      </c>
      <c r="E58" s="526">
        <v>5000</v>
      </c>
      <c r="F58" s="527">
        <f t="shared" si="7"/>
        <v>1.2800000000000001E-3</v>
      </c>
      <c r="G58" s="528"/>
      <c r="H58" s="526"/>
      <c r="I58" s="527">
        <f>F58</f>
        <v>1.2800000000000001E-3</v>
      </c>
      <c r="J58" s="528">
        <v>0.05</v>
      </c>
      <c r="K58" s="526" t="s">
        <v>24</v>
      </c>
      <c r="L58" s="529" t="s">
        <v>26</v>
      </c>
      <c r="M58" s="343"/>
      <c r="N58" s="343"/>
      <c r="O58" s="222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2">
      <c r="A59" s="543">
        <v>2143</v>
      </c>
      <c r="B59" s="516" t="s">
        <v>1007</v>
      </c>
      <c r="C59" s="525" t="s">
        <v>265</v>
      </c>
      <c r="D59" s="530">
        <v>0.1</v>
      </c>
      <c r="E59" s="526">
        <v>5000</v>
      </c>
      <c r="F59" s="527">
        <f t="shared" si="7"/>
        <v>2.0000000000000002E-5</v>
      </c>
      <c r="G59" s="528">
        <v>1.0699999999999999E-2</v>
      </c>
      <c r="H59" s="526">
        <v>50</v>
      </c>
      <c r="I59" s="527">
        <v>2.14E-4</v>
      </c>
      <c r="J59" s="528">
        <v>0.05</v>
      </c>
      <c r="K59" s="526" t="s">
        <v>24</v>
      </c>
      <c r="L59" s="529" t="s">
        <v>26</v>
      </c>
      <c r="M59" s="344"/>
      <c r="N59" s="344"/>
      <c r="O59" s="223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2">
      <c r="A60" s="543">
        <v>2144</v>
      </c>
      <c r="B60" s="516" t="s">
        <v>1007</v>
      </c>
      <c r="C60" s="525" t="s">
        <v>684</v>
      </c>
      <c r="D60" s="530">
        <v>0.42</v>
      </c>
      <c r="E60" s="526">
        <v>5000</v>
      </c>
      <c r="F60" s="527">
        <f t="shared" si="7"/>
        <v>8.3999999999999995E-5</v>
      </c>
      <c r="G60" s="528">
        <v>1.0699999999999999E-2</v>
      </c>
      <c r="H60" s="526">
        <v>50</v>
      </c>
      <c r="I60" s="527">
        <f>G60/H60</f>
        <v>2.14E-4</v>
      </c>
      <c r="J60" s="528">
        <v>0.05</v>
      </c>
      <c r="K60" s="526" t="s">
        <v>24</v>
      </c>
      <c r="L60" s="529" t="s">
        <v>26</v>
      </c>
      <c r="M60" s="343"/>
      <c r="N60" s="343"/>
      <c r="O60" s="222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2">
      <c r="A61" s="543">
        <v>2146</v>
      </c>
      <c r="B61" s="516" t="s">
        <v>1007</v>
      </c>
      <c r="C61" s="525" t="s">
        <v>266</v>
      </c>
      <c r="D61" s="530">
        <v>3.6</v>
      </c>
      <c r="E61" s="526">
        <v>1000</v>
      </c>
      <c r="F61" s="527">
        <f t="shared" si="7"/>
        <v>3.5999999999999999E-3</v>
      </c>
      <c r="G61" s="528"/>
      <c r="H61" s="526"/>
      <c r="I61" s="527">
        <f>F61</f>
        <v>3.5999999999999999E-3</v>
      </c>
      <c r="J61" s="528">
        <v>0.5</v>
      </c>
      <c r="K61" s="526" t="s">
        <v>28</v>
      </c>
      <c r="L61" s="529" t="s">
        <v>26</v>
      </c>
      <c r="M61" s="343"/>
      <c r="N61" s="343"/>
      <c r="O61" s="222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2">
      <c r="A62" s="543">
        <v>2147</v>
      </c>
      <c r="B62" s="516" t="s">
        <v>1007</v>
      </c>
      <c r="C62" s="525" t="s">
        <v>686</v>
      </c>
      <c r="D62" s="530">
        <f>(0.295+0.41)/2</f>
        <v>0.35249999999999998</v>
      </c>
      <c r="E62" s="526">
        <v>10000</v>
      </c>
      <c r="F62" s="527">
        <f t="shared" si="7"/>
        <v>3.5249999999999996E-5</v>
      </c>
      <c r="G62" s="528">
        <v>4.4000000000000003E-3</v>
      </c>
      <c r="H62" s="526">
        <v>50</v>
      </c>
      <c r="I62" s="527">
        <f>G62/H62</f>
        <v>8.8000000000000011E-5</v>
      </c>
      <c r="J62" s="528">
        <v>0.05</v>
      </c>
      <c r="K62" s="526" t="s">
        <v>24</v>
      </c>
      <c r="L62" s="529" t="s">
        <v>26</v>
      </c>
      <c r="M62" s="343"/>
      <c r="N62" s="343"/>
      <c r="O62" s="222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2">
      <c r="A63" s="543">
        <v>2148</v>
      </c>
      <c r="B63" s="516" t="s">
        <v>1007</v>
      </c>
      <c r="C63" s="525" t="s">
        <v>687</v>
      </c>
      <c r="D63" s="530">
        <v>0.01</v>
      </c>
      <c r="E63" s="526">
        <v>1000</v>
      </c>
      <c r="F63" s="527">
        <f t="shared" si="7"/>
        <v>1.0000000000000001E-5</v>
      </c>
      <c r="G63" s="528"/>
      <c r="H63" s="526"/>
      <c r="I63" s="527">
        <f>F63</f>
        <v>1.0000000000000001E-5</v>
      </c>
      <c r="J63" s="528">
        <v>0.05</v>
      </c>
      <c r="K63" s="526" t="s">
        <v>24</v>
      </c>
      <c r="L63" s="529" t="s">
        <v>26</v>
      </c>
      <c r="M63" s="344"/>
      <c r="N63" s="344"/>
      <c r="O63" s="223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2">
      <c r="A64" s="543">
        <v>2149</v>
      </c>
      <c r="B64" s="516" t="s">
        <v>1007</v>
      </c>
      <c r="C64" s="525" t="s">
        <v>688</v>
      </c>
      <c r="D64" s="530">
        <v>1</v>
      </c>
      <c r="E64" s="526">
        <v>10000</v>
      </c>
      <c r="F64" s="527">
        <f t="shared" si="7"/>
        <v>1E-4</v>
      </c>
      <c r="G64" s="528"/>
      <c r="H64" s="526"/>
      <c r="I64" s="527">
        <f>F64</f>
        <v>1E-4</v>
      </c>
      <c r="J64" s="528">
        <v>0.5</v>
      </c>
      <c r="K64" s="526" t="s">
        <v>28</v>
      </c>
      <c r="L64" s="529" t="s">
        <v>26</v>
      </c>
      <c r="M64" s="343"/>
      <c r="N64" s="343"/>
      <c r="O64" s="222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x14ac:dyDescent="0.2">
      <c r="A65" s="532">
        <v>2150</v>
      </c>
      <c r="B65" s="516" t="s">
        <v>1007</v>
      </c>
      <c r="C65" s="525" t="s">
        <v>267</v>
      </c>
      <c r="D65" s="547">
        <v>100</v>
      </c>
      <c r="E65" s="548">
        <v>1000</v>
      </c>
      <c r="F65" s="549">
        <f>D65/E65</f>
        <v>0.1</v>
      </c>
      <c r="G65" s="528">
        <v>100</v>
      </c>
      <c r="H65" s="526">
        <v>50</v>
      </c>
      <c r="I65" s="549">
        <f>G65/H65</f>
        <v>2</v>
      </c>
      <c r="J65" s="550">
        <v>0.5</v>
      </c>
      <c r="K65" s="551" t="s">
        <v>28</v>
      </c>
      <c r="L65" s="552" t="s">
        <v>26</v>
      </c>
      <c r="M65" s="343"/>
      <c r="N65" s="343"/>
      <c r="O65" s="222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x14ac:dyDescent="0.2">
      <c r="A66" s="532">
        <v>2151</v>
      </c>
      <c r="B66" s="516" t="s">
        <v>1007</v>
      </c>
      <c r="C66" s="525" t="s">
        <v>268</v>
      </c>
      <c r="D66" s="547">
        <v>100</v>
      </c>
      <c r="E66" s="548">
        <v>1000</v>
      </c>
      <c r="F66" s="549">
        <f>D66/E66</f>
        <v>0.1</v>
      </c>
      <c r="G66" s="528"/>
      <c r="H66" s="526"/>
      <c r="I66" s="549">
        <f>F66</f>
        <v>0.1</v>
      </c>
      <c r="J66" s="550">
        <v>0.5</v>
      </c>
      <c r="K66" s="551" t="s">
        <v>28</v>
      </c>
      <c r="L66" s="552" t="s">
        <v>26</v>
      </c>
      <c r="M66" s="343"/>
      <c r="N66" s="343"/>
      <c r="O66" s="222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x14ac:dyDescent="0.2">
      <c r="A67" s="532">
        <v>2152</v>
      </c>
      <c r="B67" s="516" t="s">
        <v>1007</v>
      </c>
      <c r="C67" s="525" t="s">
        <v>269</v>
      </c>
      <c r="D67" s="530">
        <v>39</v>
      </c>
      <c r="E67" s="526">
        <v>1000</v>
      </c>
      <c r="F67" s="527">
        <f t="shared" ref="F67:F78" si="11">D67/E67</f>
        <v>3.9E-2</v>
      </c>
      <c r="G67" s="528">
        <v>3.2</v>
      </c>
      <c r="H67" s="526">
        <v>50</v>
      </c>
      <c r="I67" s="527">
        <f>+G67/H67</f>
        <v>6.4000000000000001E-2</v>
      </c>
      <c r="J67" s="528">
        <v>0.05</v>
      </c>
      <c r="K67" s="526" t="s">
        <v>24</v>
      </c>
      <c r="L67" s="529" t="s">
        <v>27</v>
      </c>
      <c r="M67" s="343"/>
      <c r="N67" s="343"/>
      <c r="O67" s="222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x14ac:dyDescent="0.2">
      <c r="A68" s="532">
        <v>2153</v>
      </c>
      <c r="B68" s="516" t="s">
        <v>1007</v>
      </c>
      <c r="C68" s="525" t="s">
        <v>270</v>
      </c>
      <c r="D68" s="530">
        <v>100</v>
      </c>
      <c r="E68" s="526">
        <v>1000</v>
      </c>
      <c r="F68" s="527">
        <f t="shared" si="11"/>
        <v>0.1</v>
      </c>
      <c r="G68" s="528">
        <v>100</v>
      </c>
      <c r="H68" s="526">
        <v>50</v>
      </c>
      <c r="I68" s="527">
        <f>+G68/H68</f>
        <v>2</v>
      </c>
      <c r="J68" s="528">
        <v>0.05</v>
      </c>
      <c r="K68" s="526" t="s">
        <v>24</v>
      </c>
      <c r="L68" s="529" t="s">
        <v>26</v>
      </c>
      <c r="M68" s="344"/>
      <c r="N68" s="344"/>
      <c r="O68" s="223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x14ac:dyDescent="0.2">
      <c r="A69" s="532">
        <v>2154</v>
      </c>
      <c r="B69" s="516" t="s">
        <v>1007</v>
      </c>
      <c r="C69" s="525" t="s">
        <v>689</v>
      </c>
      <c r="D69" s="530">
        <v>12.1</v>
      </c>
      <c r="E69" s="526">
        <v>1000</v>
      </c>
      <c r="F69" s="527">
        <f t="shared" si="11"/>
        <v>1.21E-2</v>
      </c>
      <c r="G69" s="528">
        <v>0.254</v>
      </c>
      <c r="H69" s="526">
        <v>10</v>
      </c>
      <c r="I69" s="527">
        <f>+G69/H69</f>
        <v>2.5399999999999999E-2</v>
      </c>
      <c r="J69" s="528">
        <v>0.05</v>
      </c>
      <c r="K69" s="526" t="s">
        <v>24</v>
      </c>
      <c r="L69" s="529" t="s">
        <v>27</v>
      </c>
      <c r="M69" s="344"/>
      <c r="N69" s="344"/>
      <c r="O69" s="223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x14ac:dyDescent="0.2">
      <c r="A70" s="553">
        <v>2155</v>
      </c>
      <c r="B70" s="553" t="s">
        <v>1007</v>
      </c>
      <c r="C70" s="554" t="s">
        <v>1008</v>
      </c>
      <c r="D70" s="555">
        <v>5</v>
      </c>
      <c r="E70" s="556">
        <v>1000</v>
      </c>
      <c r="F70" s="557">
        <f t="shared" si="11"/>
        <v>5.0000000000000001E-3</v>
      </c>
      <c r="G70" s="558">
        <v>1.5</v>
      </c>
      <c r="H70" s="556">
        <v>10</v>
      </c>
      <c r="I70" s="557">
        <f>G70/H70</f>
        <v>0.15</v>
      </c>
      <c r="J70" s="555">
        <v>0.05</v>
      </c>
      <c r="K70" s="556" t="s">
        <v>24</v>
      </c>
      <c r="L70" s="557" t="s">
        <v>27</v>
      </c>
      <c r="M70" s="344"/>
      <c r="N70" s="344"/>
      <c r="O70" s="223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2">
      <c r="A71" s="553">
        <v>2156</v>
      </c>
      <c r="B71" s="553" t="s">
        <v>1007</v>
      </c>
      <c r="C71" s="559" t="s">
        <v>1009</v>
      </c>
      <c r="D71" s="560">
        <v>5</v>
      </c>
      <c r="E71" s="561">
        <v>1000</v>
      </c>
      <c r="F71" s="562">
        <f t="shared" si="11"/>
        <v>5.0000000000000001E-3</v>
      </c>
      <c r="G71" s="558">
        <v>1.5</v>
      </c>
      <c r="H71" s="556">
        <v>10</v>
      </c>
      <c r="I71" s="563">
        <f t="shared" ref="I71:I72" si="12">G71/H71</f>
        <v>0.15</v>
      </c>
      <c r="J71" s="555">
        <v>0.05</v>
      </c>
      <c r="K71" s="556" t="s">
        <v>24</v>
      </c>
      <c r="L71" s="557" t="s">
        <v>27</v>
      </c>
      <c r="M71" s="343"/>
      <c r="N71" s="343"/>
      <c r="O71" s="222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2">
      <c r="A72" s="553">
        <v>2157</v>
      </c>
      <c r="B72" s="553" t="s">
        <v>1007</v>
      </c>
      <c r="C72" s="559" t="s">
        <v>1010</v>
      </c>
      <c r="D72" s="564">
        <v>50</v>
      </c>
      <c r="E72" s="565">
        <v>1000</v>
      </c>
      <c r="F72" s="566">
        <f t="shared" si="11"/>
        <v>0.05</v>
      </c>
      <c r="G72" s="558">
        <v>25</v>
      </c>
      <c r="H72" s="556">
        <v>10</v>
      </c>
      <c r="I72" s="563">
        <f t="shared" si="12"/>
        <v>2.5</v>
      </c>
      <c r="J72" s="560">
        <v>0.05</v>
      </c>
      <c r="K72" s="561" t="s">
        <v>24</v>
      </c>
      <c r="L72" s="562" t="s">
        <v>27</v>
      </c>
      <c r="M72" s="343"/>
      <c r="N72" s="343"/>
      <c r="O72" s="222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2">
      <c r="A73" s="553">
        <v>2158</v>
      </c>
      <c r="B73" s="553" t="s">
        <v>1007</v>
      </c>
      <c r="C73" s="554" t="s">
        <v>1011</v>
      </c>
      <c r="D73" s="555">
        <v>5</v>
      </c>
      <c r="E73" s="556">
        <v>1000</v>
      </c>
      <c r="F73" s="557">
        <f t="shared" si="11"/>
        <v>5.0000000000000001E-3</v>
      </c>
      <c r="G73" s="558">
        <v>1.5</v>
      </c>
      <c r="H73" s="556">
        <v>10</v>
      </c>
      <c r="I73" s="563">
        <f>G73/H73</f>
        <v>0.15</v>
      </c>
      <c r="J73" s="555">
        <v>0.05</v>
      </c>
      <c r="K73" s="556" t="s">
        <v>24</v>
      </c>
      <c r="L73" s="557" t="s">
        <v>26</v>
      </c>
      <c r="M73" s="343"/>
      <c r="N73" s="343"/>
      <c r="O73" s="222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2">
      <c r="A74" s="553">
        <v>2159</v>
      </c>
      <c r="B74" s="553" t="s">
        <v>1007</v>
      </c>
      <c r="C74" s="554" t="s">
        <v>655</v>
      </c>
      <c r="D74" s="555">
        <v>5</v>
      </c>
      <c r="E74" s="556">
        <v>1000</v>
      </c>
      <c r="F74" s="557">
        <f t="shared" si="11"/>
        <v>5.0000000000000001E-3</v>
      </c>
      <c r="G74" s="555">
        <v>1.5</v>
      </c>
      <c r="H74" s="556">
        <v>10</v>
      </c>
      <c r="I74" s="557">
        <v>0.15</v>
      </c>
      <c r="J74" s="555">
        <v>0.05</v>
      </c>
      <c r="K74" s="556" t="s">
        <v>24</v>
      </c>
      <c r="L74" s="557" t="s">
        <v>26</v>
      </c>
      <c r="M74" s="344"/>
      <c r="N74" s="344"/>
      <c r="O74" s="223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2">
      <c r="A75" s="553">
        <v>2160</v>
      </c>
      <c r="B75" s="553" t="s">
        <v>1007</v>
      </c>
      <c r="C75" s="554" t="s">
        <v>656</v>
      </c>
      <c r="D75" s="560">
        <v>50</v>
      </c>
      <c r="E75" s="561">
        <v>1000</v>
      </c>
      <c r="F75" s="562">
        <f t="shared" si="11"/>
        <v>0.05</v>
      </c>
      <c r="G75" s="555">
        <v>25</v>
      </c>
      <c r="H75" s="556">
        <v>10</v>
      </c>
      <c r="I75" s="557">
        <v>2.5</v>
      </c>
      <c r="J75" s="555">
        <v>0.05</v>
      </c>
      <c r="K75" s="556" t="s">
        <v>24</v>
      </c>
      <c r="L75" s="557" t="s">
        <v>26</v>
      </c>
      <c r="M75" s="344"/>
      <c r="N75" s="344"/>
      <c r="O75" s="223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2">
      <c r="A76" s="553">
        <v>2161</v>
      </c>
      <c r="B76" s="553" t="s">
        <v>1007</v>
      </c>
      <c r="C76" s="554" t="s">
        <v>659</v>
      </c>
      <c r="D76" s="555">
        <v>0.43</v>
      </c>
      <c r="E76" s="556">
        <v>1000</v>
      </c>
      <c r="F76" s="557">
        <f t="shared" si="11"/>
        <v>4.2999999999999999E-4</v>
      </c>
      <c r="G76" s="555">
        <v>0.28999999999999998</v>
      </c>
      <c r="H76" s="556">
        <v>10</v>
      </c>
      <c r="I76" s="557">
        <f t="shared" ref="I76:I91" si="13">G76/H76</f>
        <v>2.8999999999999998E-2</v>
      </c>
      <c r="J76" s="555">
        <v>0.05</v>
      </c>
      <c r="K76" s="556" t="s">
        <v>24</v>
      </c>
      <c r="L76" s="557" t="s">
        <v>27</v>
      </c>
      <c r="M76" s="344"/>
      <c r="N76" s="344"/>
      <c r="O76" s="223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x14ac:dyDescent="0.2">
      <c r="A77" s="553">
        <v>2162</v>
      </c>
      <c r="B77" s="553" t="s">
        <v>1007</v>
      </c>
      <c r="C77" s="554" t="s">
        <v>660</v>
      </c>
      <c r="D77" s="555">
        <v>0.43</v>
      </c>
      <c r="E77" s="556">
        <v>1000</v>
      </c>
      <c r="F77" s="557">
        <f t="shared" si="11"/>
        <v>4.2999999999999999E-4</v>
      </c>
      <c r="G77" s="555">
        <v>0.37</v>
      </c>
      <c r="H77" s="556">
        <v>10</v>
      </c>
      <c r="I77" s="557">
        <f t="shared" si="13"/>
        <v>3.6999999999999998E-2</v>
      </c>
      <c r="J77" s="555">
        <v>0.05</v>
      </c>
      <c r="K77" s="556" t="s">
        <v>24</v>
      </c>
      <c r="L77" s="557" t="s">
        <v>27</v>
      </c>
      <c r="M77" s="343"/>
      <c r="N77" s="343"/>
      <c r="O77" s="222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x14ac:dyDescent="0.2">
      <c r="A78" s="553">
        <v>2163</v>
      </c>
      <c r="B78" s="553" t="s">
        <v>1007</v>
      </c>
      <c r="C78" s="554" t="s">
        <v>661</v>
      </c>
      <c r="D78" s="555">
        <v>0.4</v>
      </c>
      <c r="E78" s="556">
        <v>1000</v>
      </c>
      <c r="F78" s="557">
        <f t="shared" si="11"/>
        <v>4.0000000000000002E-4</v>
      </c>
      <c r="G78" s="555">
        <v>0.27</v>
      </c>
      <c r="H78" s="556">
        <v>10</v>
      </c>
      <c r="I78" s="557">
        <f t="shared" si="13"/>
        <v>2.7000000000000003E-2</v>
      </c>
      <c r="J78" s="555">
        <v>0.05</v>
      </c>
      <c r="K78" s="556" t="s">
        <v>24</v>
      </c>
      <c r="L78" s="557" t="s">
        <v>27</v>
      </c>
      <c r="M78" s="343"/>
      <c r="N78" s="343"/>
      <c r="O78" s="222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x14ac:dyDescent="0.2">
      <c r="A79" s="553">
        <v>2164</v>
      </c>
      <c r="B79" s="553" t="s">
        <v>1007</v>
      </c>
      <c r="C79" s="554" t="s">
        <v>666</v>
      </c>
      <c r="D79" s="555"/>
      <c r="E79" s="556"/>
      <c r="F79" s="557">
        <f>I79</f>
        <v>0.01</v>
      </c>
      <c r="G79" s="555">
        <v>0.1</v>
      </c>
      <c r="H79" s="556">
        <v>10</v>
      </c>
      <c r="I79" s="557">
        <f t="shared" si="13"/>
        <v>0.01</v>
      </c>
      <c r="J79" s="555">
        <v>0.05</v>
      </c>
      <c r="K79" s="556" t="s">
        <v>24</v>
      </c>
      <c r="L79" s="557" t="s">
        <v>27</v>
      </c>
      <c r="M79" s="343"/>
      <c r="N79" s="343"/>
      <c r="O79" s="222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2">
      <c r="A80" s="553">
        <v>2165</v>
      </c>
      <c r="B80" s="553" t="s">
        <v>1007</v>
      </c>
      <c r="C80" s="554" t="s">
        <v>1012</v>
      </c>
      <c r="D80" s="555">
        <v>0.4</v>
      </c>
      <c r="E80" s="556">
        <v>1000</v>
      </c>
      <c r="F80" s="557">
        <f t="shared" ref="F80:F87" si="14">D80/E80</f>
        <v>4.0000000000000002E-4</v>
      </c>
      <c r="G80" s="555">
        <v>0.12</v>
      </c>
      <c r="H80" s="556">
        <v>10</v>
      </c>
      <c r="I80" s="557">
        <f t="shared" si="13"/>
        <v>1.2E-2</v>
      </c>
      <c r="J80" s="555">
        <v>0.05</v>
      </c>
      <c r="K80" s="556" t="s">
        <v>24</v>
      </c>
      <c r="L80" s="557" t="s">
        <v>27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2">
      <c r="A81" s="567">
        <v>2166</v>
      </c>
      <c r="B81" s="553" t="s">
        <v>1007</v>
      </c>
      <c r="C81" s="554" t="s">
        <v>667</v>
      </c>
      <c r="D81" s="555">
        <v>0.7</v>
      </c>
      <c r="E81" s="556">
        <v>1000</v>
      </c>
      <c r="F81" s="557">
        <f t="shared" si="14"/>
        <v>6.9999999999999999E-4</v>
      </c>
      <c r="G81" s="555">
        <v>4.8600000000000003</v>
      </c>
      <c r="H81" s="556">
        <v>10</v>
      </c>
      <c r="I81" s="557">
        <f t="shared" si="13"/>
        <v>0.48600000000000004</v>
      </c>
      <c r="J81" s="555">
        <v>0.05</v>
      </c>
      <c r="K81" s="556" t="s">
        <v>24</v>
      </c>
      <c r="L81" s="557" t="s">
        <v>27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2">
      <c r="A82" s="567">
        <v>2167</v>
      </c>
      <c r="B82" s="553" t="s">
        <v>1007</v>
      </c>
      <c r="C82" s="554" t="s">
        <v>668</v>
      </c>
      <c r="D82" s="555">
        <v>13</v>
      </c>
      <c r="E82" s="556">
        <v>1000</v>
      </c>
      <c r="F82" s="557">
        <f t="shared" si="14"/>
        <v>1.2999999999999999E-2</v>
      </c>
      <c r="G82" s="555">
        <v>4.8600000000000003</v>
      </c>
      <c r="H82" s="556">
        <v>10</v>
      </c>
      <c r="I82" s="557">
        <f t="shared" si="13"/>
        <v>0.48600000000000004</v>
      </c>
      <c r="J82" s="555">
        <v>0.05</v>
      </c>
      <c r="K82" s="556" t="s">
        <v>24</v>
      </c>
      <c r="L82" s="557" t="s">
        <v>340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2">
      <c r="A83" s="553">
        <v>2168</v>
      </c>
      <c r="B83" s="553" t="s">
        <v>1007</v>
      </c>
      <c r="C83" s="554" t="s">
        <v>669</v>
      </c>
      <c r="D83" s="555">
        <v>130</v>
      </c>
      <c r="E83" s="556">
        <v>1000</v>
      </c>
      <c r="F83" s="557">
        <f t="shared" si="14"/>
        <v>0.13</v>
      </c>
      <c r="G83" s="555">
        <v>56</v>
      </c>
      <c r="H83" s="556">
        <v>10</v>
      </c>
      <c r="I83" s="557">
        <f t="shared" si="13"/>
        <v>5.6</v>
      </c>
      <c r="J83" s="555">
        <v>0.05</v>
      </c>
      <c r="K83" s="556" t="s">
        <v>24</v>
      </c>
      <c r="L83" s="557" t="s">
        <v>26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2">
      <c r="A84" s="553">
        <v>2170</v>
      </c>
      <c r="B84" s="553" t="s">
        <v>1007</v>
      </c>
      <c r="C84" s="554" t="s">
        <v>670</v>
      </c>
      <c r="D84" s="555">
        <v>0.3</v>
      </c>
      <c r="E84" s="556">
        <v>1000</v>
      </c>
      <c r="F84" s="557">
        <f t="shared" si="14"/>
        <v>2.9999999999999997E-4</v>
      </c>
      <c r="G84" s="555">
        <v>0.47</v>
      </c>
      <c r="H84" s="556">
        <v>10</v>
      </c>
      <c r="I84" s="557">
        <f t="shared" si="13"/>
        <v>4.7E-2</v>
      </c>
      <c r="J84" s="555">
        <v>0.05</v>
      </c>
      <c r="K84" s="556" t="s">
        <v>24</v>
      </c>
      <c r="L84" s="557" t="s">
        <v>27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x14ac:dyDescent="0.2">
      <c r="A85" s="553">
        <v>2171</v>
      </c>
      <c r="B85" s="553" t="s">
        <v>1007</v>
      </c>
      <c r="C85" s="554" t="s">
        <v>671</v>
      </c>
      <c r="D85" s="555">
        <v>1</v>
      </c>
      <c r="E85" s="556">
        <v>1000</v>
      </c>
      <c r="F85" s="557">
        <f t="shared" si="14"/>
        <v>1E-3</v>
      </c>
      <c r="G85" s="555">
        <v>0.2</v>
      </c>
      <c r="H85" s="556">
        <v>10</v>
      </c>
      <c r="I85" s="557">
        <f t="shared" si="13"/>
        <v>0.02</v>
      </c>
      <c r="J85" s="555">
        <v>0.05</v>
      </c>
      <c r="K85" s="556" t="s">
        <v>24</v>
      </c>
      <c r="L85" s="557" t="s">
        <v>26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2">
      <c r="A86" s="553">
        <v>2172</v>
      </c>
      <c r="B86" s="553" t="s">
        <v>1007</v>
      </c>
      <c r="C86" s="554" t="s">
        <v>672</v>
      </c>
      <c r="D86" s="555">
        <v>1</v>
      </c>
      <c r="E86" s="556">
        <v>1000</v>
      </c>
      <c r="F86" s="557">
        <f t="shared" si="14"/>
        <v>1E-3</v>
      </c>
      <c r="G86" s="555">
        <v>0.39</v>
      </c>
      <c r="H86" s="556">
        <v>10</v>
      </c>
      <c r="I86" s="557">
        <f t="shared" si="13"/>
        <v>3.9E-2</v>
      </c>
      <c r="J86" s="555">
        <v>0.05</v>
      </c>
      <c r="K86" s="556" t="s">
        <v>24</v>
      </c>
      <c r="L86" s="557" t="s">
        <v>27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2">
      <c r="A87" s="553">
        <v>2173</v>
      </c>
      <c r="B87" s="553" t="s">
        <v>1007</v>
      </c>
      <c r="C87" s="554" t="s">
        <v>673</v>
      </c>
      <c r="D87" s="555">
        <v>1</v>
      </c>
      <c r="E87" s="556">
        <v>1000</v>
      </c>
      <c r="F87" s="557">
        <f t="shared" si="14"/>
        <v>1E-3</v>
      </c>
      <c r="G87" s="555">
        <v>1.52</v>
      </c>
      <c r="H87" s="556">
        <v>10</v>
      </c>
      <c r="I87" s="557">
        <f t="shared" si="13"/>
        <v>0.152</v>
      </c>
      <c r="J87" s="555">
        <v>0.05</v>
      </c>
      <c r="K87" s="556" t="s">
        <v>24</v>
      </c>
      <c r="L87" s="557" t="s">
        <v>26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2">
      <c r="A88" s="553">
        <v>2174</v>
      </c>
      <c r="B88" s="553" t="s">
        <v>1007</v>
      </c>
      <c r="C88" s="554" t="s">
        <v>674</v>
      </c>
      <c r="D88" s="555"/>
      <c r="E88" s="556"/>
      <c r="F88" s="557">
        <f>I88</f>
        <v>5.4000000000000003E-3</v>
      </c>
      <c r="G88" s="555">
        <v>5.3999999999999999E-2</v>
      </c>
      <c r="H88" s="556">
        <v>10</v>
      </c>
      <c r="I88" s="557">
        <f t="shared" si="13"/>
        <v>5.4000000000000003E-3</v>
      </c>
      <c r="J88" s="555">
        <v>0.05</v>
      </c>
      <c r="K88" s="556" t="s">
        <v>24</v>
      </c>
      <c r="L88" s="557" t="s">
        <v>26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2">
      <c r="A89" s="553">
        <v>2175</v>
      </c>
      <c r="B89" s="553" t="s">
        <v>1007</v>
      </c>
      <c r="C89" s="554" t="s">
        <v>675</v>
      </c>
      <c r="D89" s="555">
        <v>3.2</v>
      </c>
      <c r="E89" s="556">
        <v>1000</v>
      </c>
      <c r="F89" s="557">
        <f>D89/E89</f>
        <v>3.2000000000000002E-3</v>
      </c>
      <c r="G89" s="555">
        <v>8.2000000000000003E-2</v>
      </c>
      <c r="H89" s="556">
        <v>10</v>
      </c>
      <c r="I89" s="557">
        <f t="shared" si="13"/>
        <v>8.2000000000000007E-3</v>
      </c>
      <c r="J89" s="555">
        <v>0.05</v>
      </c>
      <c r="K89" s="556" t="s">
        <v>24</v>
      </c>
      <c r="L89" s="557" t="s">
        <v>27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x14ac:dyDescent="0.2">
      <c r="A90" s="553">
        <v>2176</v>
      </c>
      <c r="B90" s="553" t="s">
        <v>1007</v>
      </c>
      <c r="C90" s="554" t="s">
        <v>676</v>
      </c>
      <c r="D90" s="555">
        <v>0.72</v>
      </c>
      <c r="E90" s="556">
        <v>1000</v>
      </c>
      <c r="F90" s="557">
        <f>D90/E90</f>
        <v>7.1999999999999994E-4</v>
      </c>
      <c r="G90" s="555">
        <v>0.11</v>
      </c>
      <c r="H90" s="556">
        <v>10</v>
      </c>
      <c r="I90" s="557">
        <f t="shared" si="13"/>
        <v>1.0999999999999999E-2</v>
      </c>
      <c r="J90" s="555">
        <v>0.05</v>
      </c>
      <c r="K90" s="556" t="s">
        <v>24</v>
      </c>
      <c r="L90" s="557" t="s">
        <v>27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2">
      <c r="A91" s="553">
        <v>2177</v>
      </c>
      <c r="B91" s="553" t="s">
        <v>1007</v>
      </c>
      <c r="C91" s="554" t="s">
        <v>677</v>
      </c>
      <c r="D91" s="555">
        <v>4.0999999999999996</v>
      </c>
      <c r="E91" s="556">
        <v>1000</v>
      </c>
      <c r="F91" s="557">
        <f>D91/E91</f>
        <v>4.0999999999999995E-3</v>
      </c>
      <c r="G91" s="555">
        <v>28.6</v>
      </c>
      <c r="H91" s="556">
        <v>10</v>
      </c>
      <c r="I91" s="557">
        <f t="shared" si="13"/>
        <v>2.8600000000000003</v>
      </c>
      <c r="J91" s="555">
        <v>0.05</v>
      </c>
      <c r="K91" s="556" t="s">
        <v>24</v>
      </c>
      <c r="L91" s="557" t="s">
        <v>27</v>
      </c>
      <c r="M91" s="345"/>
      <c r="N91" s="345"/>
      <c r="O91" s="224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2">
      <c r="A92" s="553">
        <v>2178</v>
      </c>
      <c r="B92" s="553" t="s">
        <v>1007</v>
      </c>
      <c r="C92" s="554" t="s">
        <v>678</v>
      </c>
      <c r="D92" s="555">
        <v>30</v>
      </c>
      <c r="E92" s="556">
        <v>1000</v>
      </c>
      <c r="F92" s="557">
        <f>D92/E92</f>
        <v>0.03</v>
      </c>
      <c r="G92" s="555"/>
      <c r="H92" s="556"/>
      <c r="I92" s="557">
        <f>F92</f>
        <v>0.03</v>
      </c>
      <c r="J92" s="555">
        <v>0.05</v>
      </c>
      <c r="K92" s="556" t="s">
        <v>24</v>
      </c>
      <c r="L92" s="557" t="s">
        <v>27</v>
      </c>
      <c r="M92" s="345"/>
      <c r="N92" s="345"/>
      <c r="O92" s="224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" thickBot="1" x14ac:dyDescent="0.25">
      <c r="A93" s="568">
        <v>2179</v>
      </c>
      <c r="B93" s="568" t="s">
        <v>1007</v>
      </c>
      <c r="C93" s="569" t="s">
        <v>685</v>
      </c>
      <c r="D93" s="570">
        <v>1.3</v>
      </c>
      <c r="E93" s="571">
        <v>1000</v>
      </c>
      <c r="F93" s="572">
        <v>1.2999999999999999E-3</v>
      </c>
      <c r="G93" s="573"/>
      <c r="H93" s="571"/>
      <c r="I93" s="572">
        <f>F93</f>
        <v>1.2999999999999999E-3</v>
      </c>
      <c r="J93" s="573">
        <v>0.05</v>
      </c>
      <c r="K93" s="571" t="s">
        <v>24</v>
      </c>
      <c r="L93" s="574" t="s">
        <v>26</v>
      </c>
      <c r="M93" s="345"/>
      <c r="N93" s="345"/>
      <c r="O93" s="224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x14ac:dyDescent="0.2">
      <c r="A94" s="575">
        <v>2201</v>
      </c>
      <c r="B94" s="576" t="s">
        <v>31</v>
      </c>
      <c r="C94" s="577" t="s">
        <v>271</v>
      </c>
      <c r="D94" s="578">
        <v>1.7</v>
      </c>
      <c r="E94" s="579">
        <v>1000</v>
      </c>
      <c r="F94" s="580">
        <f>D94/E94</f>
        <v>1.6999999999999999E-3</v>
      </c>
      <c r="G94" s="581">
        <v>0.13500000000000001</v>
      </c>
      <c r="H94" s="582">
        <v>10</v>
      </c>
      <c r="I94" s="583">
        <f>G94/H94</f>
        <v>1.3500000000000002E-2</v>
      </c>
      <c r="J94" s="578">
        <v>0.05</v>
      </c>
      <c r="K94" s="579" t="s">
        <v>24</v>
      </c>
      <c r="L94" s="584" t="s">
        <v>27</v>
      </c>
      <c r="M94" s="345"/>
      <c r="N94" s="345"/>
      <c r="O94" s="224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x14ac:dyDescent="0.2">
      <c r="A95" s="532">
        <v>2202</v>
      </c>
      <c r="B95" s="585" t="s">
        <v>31</v>
      </c>
      <c r="C95" s="586" t="s">
        <v>272</v>
      </c>
      <c r="D95" s="587">
        <v>0.92500000000000004</v>
      </c>
      <c r="E95" s="588">
        <v>1000</v>
      </c>
      <c r="F95" s="589">
        <f t="shared" ref="F95:F100" si="15">D95/E95</f>
        <v>9.2500000000000004E-4</v>
      </c>
      <c r="G95" s="590">
        <v>0.13500000000000001</v>
      </c>
      <c r="H95" s="588">
        <v>10</v>
      </c>
      <c r="I95" s="591">
        <f t="shared" ref="I95" si="16">G95/H95</f>
        <v>1.3500000000000002E-2</v>
      </c>
      <c r="J95" s="587">
        <v>0.05</v>
      </c>
      <c r="K95" s="588" t="s">
        <v>24</v>
      </c>
      <c r="L95" s="589" t="s">
        <v>27</v>
      </c>
      <c r="M95" s="345"/>
      <c r="N95" s="345"/>
      <c r="O95" s="224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x14ac:dyDescent="0.2">
      <c r="A96" s="532">
        <v>2203</v>
      </c>
      <c r="B96" s="585" t="s">
        <v>31</v>
      </c>
      <c r="C96" s="592" t="s">
        <v>273</v>
      </c>
      <c r="D96" s="528">
        <v>0.3</v>
      </c>
      <c r="E96" s="526">
        <v>1000</v>
      </c>
      <c r="F96" s="529">
        <f t="shared" si="15"/>
        <v>2.9999999999999997E-4</v>
      </c>
      <c r="G96" s="530"/>
      <c r="H96" s="526"/>
      <c r="I96" s="527">
        <f>F96</f>
        <v>2.9999999999999997E-4</v>
      </c>
      <c r="J96" s="528">
        <v>0.05</v>
      </c>
      <c r="K96" s="526" t="s">
        <v>24</v>
      </c>
      <c r="L96" s="529" t="s">
        <v>27</v>
      </c>
      <c r="M96" s="343"/>
      <c r="N96" s="343"/>
      <c r="O96" s="222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">
      <c r="A97" s="532">
        <v>2204</v>
      </c>
      <c r="B97" s="585" t="s">
        <v>31</v>
      </c>
      <c r="C97" s="593" t="s">
        <v>274</v>
      </c>
      <c r="D97" s="521">
        <v>3.4</v>
      </c>
      <c r="E97" s="519">
        <v>1000</v>
      </c>
      <c r="F97" s="522">
        <f t="shared" si="15"/>
        <v>3.3999999999999998E-3</v>
      </c>
      <c r="G97" s="523"/>
      <c r="H97" s="519"/>
      <c r="I97" s="520">
        <f>F97</f>
        <v>3.3999999999999998E-3</v>
      </c>
      <c r="J97" s="521">
        <v>0.05</v>
      </c>
      <c r="K97" s="519" t="s">
        <v>24</v>
      </c>
      <c r="L97" s="522" t="s">
        <v>26</v>
      </c>
      <c r="M97" s="344"/>
      <c r="N97" s="344"/>
      <c r="O97" s="223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">
      <c r="A98" s="532">
        <v>2205</v>
      </c>
      <c r="B98" s="585" t="s">
        <v>31</v>
      </c>
      <c r="C98" s="594" t="s">
        <v>275</v>
      </c>
      <c r="D98" s="528">
        <v>0.68</v>
      </c>
      <c r="E98" s="526">
        <v>5000</v>
      </c>
      <c r="F98" s="529">
        <f t="shared" si="15"/>
        <v>1.36E-4</v>
      </c>
      <c r="G98" s="530">
        <v>0.3</v>
      </c>
      <c r="H98" s="526">
        <v>10</v>
      </c>
      <c r="I98" s="527">
        <f>G98/H98</f>
        <v>0.03</v>
      </c>
      <c r="J98" s="528">
        <v>0.05</v>
      </c>
      <c r="K98" s="526" t="s">
        <v>24</v>
      </c>
      <c r="L98" s="529" t="s">
        <v>26</v>
      </c>
      <c r="M98" s="344"/>
      <c r="N98" s="344"/>
      <c r="O98" s="223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">
      <c r="A99" s="532">
        <v>2206</v>
      </c>
      <c r="B99" s="585" t="s">
        <v>31</v>
      </c>
      <c r="C99" s="594" t="s">
        <v>276</v>
      </c>
      <c r="D99" s="528">
        <v>0.13400000000000001</v>
      </c>
      <c r="E99" s="526">
        <v>1000</v>
      </c>
      <c r="F99" s="529">
        <f t="shared" si="15"/>
        <v>1.34E-4</v>
      </c>
      <c r="G99" s="530">
        <v>6.7000000000000004E-2</v>
      </c>
      <c r="H99" s="526">
        <v>10</v>
      </c>
      <c r="I99" s="527">
        <f>G99/H99</f>
        <v>6.7000000000000002E-3</v>
      </c>
      <c r="J99" s="528">
        <v>0.05</v>
      </c>
      <c r="K99" s="526" t="s">
        <v>24</v>
      </c>
      <c r="L99" s="529" t="s">
        <v>26</v>
      </c>
      <c r="M99" s="344"/>
      <c r="N99" s="344"/>
      <c r="O99" s="223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" thickBot="1" x14ac:dyDescent="0.25">
      <c r="A100" s="536">
        <v>2207</v>
      </c>
      <c r="B100" s="595" t="s">
        <v>31</v>
      </c>
      <c r="C100" s="596" t="s">
        <v>277</v>
      </c>
      <c r="D100" s="541">
        <f>(5.3+1.6)/2</f>
        <v>3.45</v>
      </c>
      <c r="E100" s="539">
        <v>1000</v>
      </c>
      <c r="F100" s="542">
        <f t="shared" si="15"/>
        <v>3.4500000000000004E-3</v>
      </c>
      <c r="G100" s="538"/>
      <c r="H100" s="539"/>
      <c r="I100" s="540">
        <f>F100</f>
        <v>3.4500000000000004E-3</v>
      </c>
      <c r="J100" s="541">
        <v>0.05</v>
      </c>
      <c r="K100" s="539" t="s">
        <v>24</v>
      </c>
      <c r="L100" s="542" t="s">
        <v>27</v>
      </c>
      <c r="M100" s="344"/>
      <c r="N100" s="344"/>
      <c r="O100" s="223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">
      <c r="A101" s="597">
        <v>2301</v>
      </c>
      <c r="B101" s="598" t="s">
        <v>32</v>
      </c>
      <c r="C101" s="577" t="s">
        <v>278</v>
      </c>
      <c r="D101" s="578">
        <v>0.08</v>
      </c>
      <c r="E101" s="579">
        <v>1000</v>
      </c>
      <c r="F101" s="584">
        <f>D101/E101</f>
        <v>8.0000000000000007E-5</v>
      </c>
      <c r="G101" s="578">
        <v>6.7999999999999996E-3</v>
      </c>
      <c r="H101" s="579">
        <v>10</v>
      </c>
      <c r="I101" s="584">
        <f>G101/H101</f>
        <v>6.7999999999999994E-4</v>
      </c>
      <c r="J101" s="578">
        <v>0.05</v>
      </c>
      <c r="K101" s="579" t="s">
        <v>24</v>
      </c>
      <c r="L101" s="584" t="s">
        <v>26</v>
      </c>
      <c r="M101" s="345"/>
      <c r="N101" s="345"/>
      <c r="O101" s="224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">
      <c r="A102" s="532">
        <v>2302</v>
      </c>
      <c r="B102" s="598" t="s">
        <v>32</v>
      </c>
      <c r="C102" s="599" t="s">
        <v>279</v>
      </c>
      <c r="D102" s="521">
        <v>0.05</v>
      </c>
      <c r="E102" s="519">
        <v>1000</v>
      </c>
      <c r="F102" s="522">
        <f>D102/E102</f>
        <v>5.0000000000000002E-5</v>
      </c>
      <c r="G102" s="521">
        <v>2.5000000000000001E-2</v>
      </c>
      <c r="H102" s="519">
        <v>10</v>
      </c>
      <c r="I102" s="522">
        <f>G102/H102</f>
        <v>2.5000000000000001E-3</v>
      </c>
      <c r="J102" s="521">
        <v>0.05</v>
      </c>
      <c r="K102" s="519" t="s">
        <v>24</v>
      </c>
      <c r="L102" s="522" t="s">
        <v>26</v>
      </c>
      <c r="M102" s="345"/>
      <c r="N102" s="345"/>
      <c r="O102" s="224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">
      <c r="A103" s="532">
        <v>2303</v>
      </c>
      <c r="B103" s="598" t="s">
        <v>32</v>
      </c>
      <c r="C103" s="525" t="s">
        <v>280</v>
      </c>
      <c r="D103" s="530">
        <v>1.91</v>
      </c>
      <c r="E103" s="526">
        <v>1000</v>
      </c>
      <c r="F103" s="527">
        <f>D103/E103</f>
        <v>1.91E-3</v>
      </c>
      <c r="G103" s="528">
        <v>1</v>
      </c>
      <c r="H103" s="526">
        <v>10</v>
      </c>
      <c r="I103" s="529">
        <f>G103/H103</f>
        <v>0.1</v>
      </c>
      <c r="J103" s="530">
        <v>0.05</v>
      </c>
      <c r="K103" s="526" t="s">
        <v>24</v>
      </c>
      <c r="L103" s="529" t="s">
        <v>27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" thickBot="1" x14ac:dyDescent="0.25">
      <c r="A104" s="600">
        <v>2304</v>
      </c>
      <c r="B104" s="601" t="s">
        <v>32</v>
      </c>
      <c r="C104" s="602" t="s">
        <v>281</v>
      </c>
      <c r="D104" s="538"/>
      <c r="E104" s="539"/>
      <c r="F104" s="540"/>
      <c r="G104" s="541">
        <v>0.69</v>
      </c>
      <c r="H104" s="539">
        <v>50</v>
      </c>
      <c r="I104" s="542">
        <f>G104/H104</f>
        <v>1.38E-2</v>
      </c>
      <c r="J104" s="538">
        <v>0.05</v>
      </c>
      <c r="K104" s="539" t="s">
        <v>24</v>
      </c>
      <c r="L104" s="542" t="s">
        <v>26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">
      <c r="A105" s="603">
        <v>2401</v>
      </c>
      <c r="B105" s="598" t="s">
        <v>1013</v>
      </c>
      <c r="C105" s="577" t="s">
        <v>282</v>
      </c>
      <c r="D105" s="578">
        <v>0.11</v>
      </c>
      <c r="E105" s="579">
        <v>1000</v>
      </c>
      <c r="F105" s="584">
        <f t="shared" ref="F105" si="17">D105/E105</f>
        <v>1.1E-4</v>
      </c>
      <c r="G105" s="578">
        <v>0.04</v>
      </c>
      <c r="H105" s="579">
        <v>10</v>
      </c>
      <c r="I105" s="584">
        <f>G105/H105</f>
        <v>4.0000000000000001E-3</v>
      </c>
      <c r="J105" s="578">
        <v>0.5</v>
      </c>
      <c r="K105" s="579" t="s">
        <v>28</v>
      </c>
      <c r="L105" s="584" t="s">
        <v>25</v>
      </c>
      <c r="M105" s="345"/>
      <c r="N105" s="345"/>
      <c r="O105" s="224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x14ac:dyDescent="0.2">
      <c r="A106" s="532">
        <v>2402</v>
      </c>
      <c r="B106" s="598" t="s">
        <v>1013</v>
      </c>
      <c r="C106" s="544" t="s">
        <v>33</v>
      </c>
      <c r="D106" s="531">
        <v>295</v>
      </c>
      <c r="E106" s="526">
        <v>1000</v>
      </c>
      <c r="F106" s="604">
        <v>0.29499999999999998</v>
      </c>
      <c r="G106" s="531">
        <v>51</v>
      </c>
      <c r="H106" s="526">
        <v>50</v>
      </c>
      <c r="I106" s="530">
        <v>1.02</v>
      </c>
      <c r="J106" s="531">
        <v>0.05</v>
      </c>
      <c r="K106" s="526" t="s">
        <v>24</v>
      </c>
      <c r="L106" s="604" t="s">
        <v>27</v>
      </c>
      <c r="M106" s="345"/>
      <c r="N106" s="345"/>
      <c r="O106" s="224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x14ac:dyDescent="0.2">
      <c r="A107" s="532">
        <v>2403</v>
      </c>
      <c r="B107" s="598" t="s">
        <v>1013</v>
      </c>
      <c r="C107" s="544" t="s">
        <v>34</v>
      </c>
      <c r="D107" s="531">
        <v>0.4</v>
      </c>
      <c r="E107" s="526">
        <v>5000</v>
      </c>
      <c r="F107" s="604">
        <f t="shared" ref="F107:F121" si="18">D107/E107</f>
        <v>8.0000000000000007E-5</v>
      </c>
      <c r="G107" s="531"/>
      <c r="H107" s="526"/>
      <c r="I107" s="604">
        <f>F107</f>
        <v>8.0000000000000007E-5</v>
      </c>
      <c r="J107" s="528">
        <v>1</v>
      </c>
      <c r="K107" s="526" t="s">
        <v>35</v>
      </c>
      <c r="L107" s="529" t="s">
        <v>26</v>
      </c>
      <c r="M107" s="345"/>
      <c r="N107" s="345"/>
      <c r="O107" s="224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x14ac:dyDescent="0.2">
      <c r="A108" s="543">
        <v>2404</v>
      </c>
      <c r="B108" s="598" t="s">
        <v>1013</v>
      </c>
      <c r="C108" s="544" t="s">
        <v>690</v>
      </c>
      <c r="D108" s="531">
        <v>0.78</v>
      </c>
      <c r="E108" s="526">
        <v>1000</v>
      </c>
      <c r="F108" s="604">
        <f t="shared" si="18"/>
        <v>7.7999999999999999E-4</v>
      </c>
      <c r="G108" s="531">
        <v>0.1</v>
      </c>
      <c r="H108" s="526">
        <v>10</v>
      </c>
      <c r="I108" s="605">
        <f>G108/H108</f>
        <v>0.01</v>
      </c>
      <c r="J108" s="528">
        <v>0.15</v>
      </c>
      <c r="K108" s="530" t="s">
        <v>24</v>
      </c>
      <c r="L108" s="529" t="s">
        <v>26</v>
      </c>
      <c r="M108" s="345"/>
      <c r="N108" s="345"/>
      <c r="O108" s="224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x14ac:dyDescent="0.2">
      <c r="A109" s="532">
        <v>2405</v>
      </c>
      <c r="B109" s="598" t="s">
        <v>1013</v>
      </c>
      <c r="C109" s="544" t="s">
        <v>36</v>
      </c>
      <c r="D109" s="531">
        <v>4.8099999999999996</v>
      </c>
      <c r="E109" s="526">
        <v>1000</v>
      </c>
      <c r="F109" s="604">
        <v>4.7999999999999996E-3</v>
      </c>
      <c r="G109" s="531"/>
      <c r="H109" s="526"/>
      <c r="I109" s="605">
        <v>4.7999999999999996E-3</v>
      </c>
      <c r="J109" s="528">
        <v>0.05</v>
      </c>
      <c r="K109" s="530" t="s">
        <v>24</v>
      </c>
      <c r="L109" s="529" t="s">
        <v>26</v>
      </c>
      <c r="M109" s="345"/>
      <c r="N109" s="345"/>
      <c r="O109" s="224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x14ac:dyDescent="0.2">
      <c r="A110" s="532">
        <v>2406</v>
      </c>
      <c r="B110" s="598" t="s">
        <v>1013</v>
      </c>
      <c r="C110" s="592" t="s">
        <v>37</v>
      </c>
      <c r="D110" s="531">
        <v>35</v>
      </c>
      <c r="E110" s="526">
        <v>5000</v>
      </c>
      <c r="F110" s="604">
        <f t="shared" si="18"/>
        <v>7.0000000000000001E-3</v>
      </c>
      <c r="G110" s="531"/>
      <c r="H110" s="526"/>
      <c r="I110" s="605">
        <f>F110</f>
        <v>7.0000000000000001E-3</v>
      </c>
      <c r="J110" s="528">
        <v>1</v>
      </c>
      <c r="K110" s="530" t="s">
        <v>35</v>
      </c>
      <c r="L110" s="529" t="s">
        <v>26</v>
      </c>
      <c r="M110" s="345"/>
      <c r="N110" s="345"/>
      <c r="O110" s="224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x14ac:dyDescent="0.2">
      <c r="A111" s="532">
        <v>2407</v>
      </c>
      <c r="B111" s="598" t="s">
        <v>1013</v>
      </c>
      <c r="C111" s="544" t="s">
        <v>38</v>
      </c>
      <c r="D111" s="531">
        <v>2</v>
      </c>
      <c r="E111" s="526">
        <v>1000</v>
      </c>
      <c r="F111" s="604">
        <f t="shared" si="18"/>
        <v>2E-3</v>
      </c>
      <c r="G111" s="531"/>
      <c r="H111" s="526"/>
      <c r="I111" s="605">
        <f>F111</f>
        <v>2E-3</v>
      </c>
      <c r="J111" s="528">
        <v>0.05</v>
      </c>
      <c r="K111" s="530" t="s">
        <v>24</v>
      </c>
      <c r="L111" s="529" t="s">
        <v>26</v>
      </c>
      <c r="M111" s="345"/>
      <c r="N111" s="345"/>
      <c r="O111" s="224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x14ac:dyDescent="0.2">
      <c r="A112" s="532">
        <v>2408</v>
      </c>
      <c r="B112" s="598" t="s">
        <v>1013</v>
      </c>
      <c r="C112" s="544" t="s">
        <v>39</v>
      </c>
      <c r="D112" s="531">
        <v>0.375</v>
      </c>
      <c r="E112" s="526">
        <v>1000</v>
      </c>
      <c r="F112" s="604">
        <f t="shared" si="18"/>
        <v>3.7500000000000001E-4</v>
      </c>
      <c r="G112" s="531">
        <v>2.23E-2</v>
      </c>
      <c r="H112" s="526">
        <v>10</v>
      </c>
      <c r="I112" s="605">
        <f>G112/H112</f>
        <v>2.2300000000000002E-3</v>
      </c>
      <c r="J112" s="528">
        <v>0.05</v>
      </c>
      <c r="K112" s="526" t="s">
        <v>24</v>
      </c>
      <c r="L112" s="604" t="s">
        <v>26</v>
      </c>
      <c r="M112" s="345"/>
      <c r="N112" s="345"/>
      <c r="O112" s="224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x14ac:dyDescent="0.2">
      <c r="A113" s="532">
        <v>2410</v>
      </c>
      <c r="B113" s="598" t="s">
        <v>1013</v>
      </c>
      <c r="C113" s="544" t="s">
        <v>283</v>
      </c>
      <c r="D113" s="531">
        <v>4.8000000000000001E-2</v>
      </c>
      <c r="E113" s="526">
        <v>1000</v>
      </c>
      <c r="F113" s="604">
        <f t="shared" si="18"/>
        <v>4.8000000000000001E-5</v>
      </c>
      <c r="G113" s="531">
        <v>1.1999999999999999E-3</v>
      </c>
      <c r="H113" s="526">
        <v>10</v>
      </c>
      <c r="I113" s="605">
        <f t="shared" ref="I113" si="19">G113/H113</f>
        <v>1.1999999999999999E-4</v>
      </c>
      <c r="J113" s="528">
        <v>0.5</v>
      </c>
      <c r="K113" s="526" t="s">
        <v>28</v>
      </c>
      <c r="L113" s="604" t="s">
        <v>26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x14ac:dyDescent="0.2">
      <c r="A114" s="532">
        <v>2411</v>
      </c>
      <c r="B114" s="598" t="s">
        <v>1013</v>
      </c>
      <c r="C114" s="544" t="s">
        <v>284</v>
      </c>
      <c r="D114" s="531">
        <v>0.16</v>
      </c>
      <c r="E114" s="526">
        <v>1000</v>
      </c>
      <c r="F114" s="604">
        <f t="shared" si="18"/>
        <v>1.6000000000000001E-4</v>
      </c>
      <c r="G114" s="531">
        <v>0.03</v>
      </c>
      <c r="H114" s="526">
        <v>10</v>
      </c>
      <c r="I114" s="605">
        <f>G114/H114</f>
        <v>3.0000000000000001E-3</v>
      </c>
      <c r="J114" s="528">
        <v>0.5</v>
      </c>
      <c r="K114" s="526" t="s">
        <v>28</v>
      </c>
      <c r="L114" s="604" t="s">
        <v>26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x14ac:dyDescent="0.2">
      <c r="A115" s="532">
        <v>2412</v>
      </c>
      <c r="B115" s="598" t="s">
        <v>1013</v>
      </c>
      <c r="C115" s="544" t="s">
        <v>40</v>
      </c>
      <c r="D115" s="531">
        <v>0.15</v>
      </c>
      <c r="E115" s="526">
        <v>1000</v>
      </c>
      <c r="F115" s="604">
        <f t="shared" si="18"/>
        <v>1.4999999999999999E-4</v>
      </c>
      <c r="G115" s="531"/>
      <c r="H115" s="526"/>
      <c r="I115" s="605">
        <f>F115</f>
        <v>1.4999999999999999E-4</v>
      </c>
      <c r="J115" s="528">
        <v>0.05</v>
      </c>
      <c r="K115" s="530" t="s">
        <v>24</v>
      </c>
      <c r="L115" s="529" t="s">
        <v>26</v>
      </c>
      <c r="M115" s="345"/>
      <c r="N115" s="345"/>
      <c r="O115" s="224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x14ac:dyDescent="0.2">
      <c r="A116" s="532">
        <v>2413</v>
      </c>
      <c r="B116" s="598" t="s">
        <v>1013</v>
      </c>
      <c r="C116" s="544" t="s">
        <v>41</v>
      </c>
      <c r="D116" s="531">
        <v>15.4</v>
      </c>
      <c r="E116" s="526">
        <v>5000</v>
      </c>
      <c r="F116" s="604">
        <f t="shared" si="18"/>
        <v>3.0800000000000003E-3</v>
      </c>
      <c r="G116" s="531"/>
      <c r="H116" s="526"/>
      <c r="I116" s="605">
        <f>F116</f>
        <v>3.0800000000000003E-3</v>
      </c>
      <c r="J116" s="528">
        <v>0.05</v>
      </c>
      <c r="K116" s="530" t="s">
        <v>24</v>
      </c>
      <c r="L116" s="529" t="s">
        <v>25</v>
      </c>
      <c r="M116" s="345"/>
      <c r="N116" s="345"/>
      <c r="O116" s="224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x14ac:dyDescent="0.2">
      <c r="A117" s="532">
        <v>2414</v>
      </c>
      <c r="B117" s="598" t="s">
        <v>1013</v>
      </c>
      <c r="C117" s="592" t="s">
        <v>42</v>
      </c>
      <c r="D117" s="531">
        <v>1.1000000000000001</v>
      </c>
      <c r="E117" s="526">
        <v>1000</v>
      </c>
      <c r="F117" s="604">
        <f t="shared" si="18"/>
        <v>1.1000000000000001E-3</v>
      </c>
      <c r="G117" s="531">
        <v>8.9999999999999993E-3</v>
      </c>
      <c r="H117" s="526">
        <v>10</v>
      </c>
      <c r="I117" s="605">
        <f>G117/H117</f>
        <v>8.9999999999999998E-4</v>
      </c>
      <c r="J117" s="528">
        <v>0.05</v>
      </c>
      <c r="K117" s="526" t="s">
        <v>24</v>
      </c>
      <c r="L117" s="604" t="s">
        <v>26</v>
      </c>
      <c r="M117" s="345"/>
      <c r="N117" s="345"/>
      <c r="O117" s="224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x14ac:dyDescent="0.2">
      <c r="A118" s="532">
        <v>2415</v>
      </c>
      <c r="B118" s="598" t="s">
        <v>1013</v>
      </c>
      <c r="C118" s="544" t="s">
        <v>43</v>
      </c>
      <c r="D118" s="531">
        <v>24.8</v>
      </c>
      <c r="E118" s="526">
        <v>1000</v>
      </c>
      <c r="F118" s="604">
        <f t="shared" si="18"/>
        <v>2.4799999999999999E-2</v>
      </c>
      <c r="G118" s="531">
        <v>0.09</v>
      </c>
      <c r="H118" s="526">
        <v>50</v>
      </c>
      <c r="I118" s="605">
        <f>G118/H118</f>
        <v>1.8E-3</v>
      </c>
      <c r="J118" s="528">
        <v>0.05</v>
      </c>
      <c r="K118" s="526" t="s">
        <v>24</v>
      </c>
      <c r="L118" s="604" t="s">
        <v>27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x14ac:dyDescent="0.2">
      <c r="A119" s="532">
        <v>2416</v>
      </c>
      <c r="B119" s="598" t="s">
        <v>1013</v>
      </c>
      <c r="C119" s="544" t="s">
        <v>44</v>
      </c>
      <c r="D119" s="531">
        <v>36.5</v>
      </c>
      <c r="E119" s="526">
        <v>5000</v>
      </c>
      <c r="F119" s="604">
        <f t="shared" si="18"/>
        <v>7.3000000000000001E-3</v>
      </c>
      <c r="G119" s="531"/>
      <c r="H119" s="526"/>
      <c r="I119" s="605">
        <f t="shared" ref="I119" si="20">F119</f>
        <v>7.3000000000000001E-3</v>
      </c>
      <c r="J119" s="528">
        <v>1</v>
      </c>
      <c r="K119" s="530" t="s">
        <v>26</v>
      </c>
      <c r="L119" s="529" t="s">
        <v>26</v>
      </c>
      <c r="M119" s="345"/>
      <c r="N119" s="345"/>
      <c r="O119" s="224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x14ac:dyDescent="0.2">
      <c r="A120" s="532">
        <v>2418</v>
      </c>
      <c r="B120" s="598" t="s">
        <v>1013</v>
      </c>
      <c r="C120" s="606" t="s">
        <v>46</v>
      </c>
      <c r="D120" s="531">
        <v>1.4E-3</v>
      </c>
      <c r="E120" s="526">
        <v>1000</v>
      </c>
      <c r="F120" s="604">
        <f t="shared" si="18"/>
        <v>1.3999999999999999E-6</v>
      </c>
      <c r="G120" s="531">
        <v>6.8999999999999997E-4</v>
      </c>
      <c r="H120" s="526">
        <v>10</v>
      </c>
      <c r="I120" s="605">
        <f>G120/H120</f>
        <v>6.8999999999999997E-5</v>
      </c>
      <c r="J120" s="528">
        <v>0.5</v>
      </c>
      <c r="K120" s="530" t="s">
        <v>28</v>
      </c>
      <c r="L120" s="529" t="s">
        <v>26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x14ac:dyDescent="0.2">
      <c r="A121" s="532">
        <v>2419</v>
      </c>
      <c r="B121" s="598" t="s">
        <v>1013</v>
      </c>
      <c r="C121" s="606" t="s">
        <v>47</v>
      </c>
      <c r="D121" s="531">
        <v>291</v>
      </c>
      <c r="E121" s="526">
        <v>1000</v>
      </c>
      <c r="F121" s="604">
        <f t="shared" si="18"/>
        <v>0.29099999999999998</v>
      </c>
      <c r="G121" s="531">
        <v>9.43</v>
      </c>
      <c r="H121" s="526">
        <v>10</v>
      </c>
      <c r="I121" s="605">
        <f>+G121/H121</f>
        <v>0.94299999999999995</v>
      </c>
      <c r="J121" s="528">
        <v>0.05</v>
      </c>
      <c r="K121" s="530" t="s">
        <v>24</v>
      </c>
      <c r="L121" s="529" t="s">
        <v>26</v>
      </c>
      <c r="M121" s="345"/>
      <c r="N121" s="345"/>
      <c r="O121" s="224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x14ac:dyDescent="0.2">
      <c r="A122" s="532">
        <v>2420</v>
      </c>
      <c r="B122" s="598" t="s">
        <v>1013</v>
      </c>
      <c r="C122" s="544" t="s">
        <v>285</v>
      </c>
      <c r="D122" s="607">
        <v>24.1</v>
      </c>
      <c r="E122" s="548">
        <v>1000</v>
      </c>
      <c r="F122" s="608">
        <f>D122/E122</f>
        <v>2.41E-2</v>
      </c>
      <c r="G122" s="528"/>
      <c r="H122" s="526"/>
      <c r="I122" s="609">
        <f>F122</f>
        <v>2.41E-2</v>
      </c>
      <c r="J122" s="550">
        <v>0.05</v>
      </c>
      <c r="K122" s="547" t="s">
        <v>24</v>
      </c>
      <c r="L122" s="529" t="s">
        <v>26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x14ac:dyDescent="0.2">
      <c r="A123" s="532">
        <v>2421</v>
      </c>
      <c r="B123" s="598" t="s">
        <v>1013</v>
      </c>
      <c r="C123" s="606" t="s">
        <v>286</v>
      </c>
      <c r="D123" s="607">
        <v>2.7E-2</v>
      </c>
      <c r="E123" s="548">
        <v>1000</v>
      </c>
      <c r="F123" s="608">
        <f>D123/E123</f>
        <v>2.6999999999999999E-5</v>
      </c>
      <c r="G123" s="528">
        <v>8.5000000000000006E-3</v>
      </c>
      <c r="H123" s="526">
        <v>50</v>
      </c>
      <c r="I123" s="605">
        <f>G123/H123</f>
        <v>1.7000000000000001E-4</v>
      </c>
      <c r="J123" s="550">
        <v>0.05</v>
      </c>
      <c r="K123" s="547" t="s">
        <v>24</v>
      </c>
      <c r="L123" s="529" t="s">
        <v>26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" thickBot="1" x14ac:dyDescent="0.25">
      <c r="A124" s="536">
        <v>2422</v>
      </c>
      <c r="B124" s="601" t="s">
        <v>1013</v>
      </c>
      <c r="C124" s="610" t="s">
        <v>287</v>
      </c>
      <c r="D124" s="541">
        <v>100</v>
      </c>
      <c r="E124" s="539">
        <v>1000</v>
      </c>
      <c r="F124" s="611">
        <f>D124/E124</f>
        <v>0.1</v>
      </c>
      <c r="G124" s="541"/>
      <c r="H124" s="539"/>
      <c r="I124" s="612">
        <v>0.1</v>
      </c>
      <c r="J124" s="541">
        <v>0.05</v>
      </c>
      <c r="K124" s="538" t="s">
        <v>24</v>
      </c>
      <c r="L124" s="542" t="s">
        <v>26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x14ac:dyDescent="0.2">
      <c r="A125" s="532">
        <v>2502</v>
      </c>
      <c r="B125" s="598" t="s">
        <v>1014</v>
      </c>
      <c r="C125" s="544" t="s">
        <v>692</v>
      </c>
      <c r="D125" s="531">
        <v>100</v>
      </c>
      <c r="E125" s="526">
        <v>1000</v>
      </c>
      <c r="F125" s="604">
        <v>0.1</v>
      </c>
      <c r="G125" s="605">
        <v>100</v>
      </c>
      <c r="H125" s="526">
        <v>10</v>
      </c>
      <c r="I125" s="605">
        <v>10</v>
      </c>
      <c r="J125" s="528">
        <v>1</v>
      </c>
      <c r="K125" s="526" t="s">
        <v>35</v>
      </c>
      <c r="L125" s="604" t="s">
        <v>26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x14ac:dyDescent="0.2">
      <c r="A126" s="543">
        <v>2503</v>
      </c>
      <c r="B126" s="598" t="s">
        <v>1014</v>
      </c>
      <c r="C126" s="544" t="s">
        <v>693</v>
      </c>
      <c r="D126" s="531">
        <v>885</v>
      </c>
      <c r="E126" s="526">
        <v>5000</v>
      </c>
      <c r="F126" s="604">
        <f t="shared" ref="F126:F135" si="21">D126/E126</f>
        <v>0.17699999999999999</v>
      </c>
      <c r="G126" s="605"/>
      <c r="H126" s="526"/>
      <c r="I126" s="605">
        <f>F126</f>
        <v>0.17699999999999999</v>
      </c>
      <c r="J126" s="528">
        <v>0.05</v>
      </c>
      <c r="K126" s="526" t="s">
        <v>24</v>
      </c>
      <c r="L126" s="604" t="s">
        <v>27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x14ac:dyDescent="0.2">
      <c r="A127" s="532">
        <v>2504</v>
      </c>
      <c r="B127" s="598" t="s">
        <v>1014</v>
      </c>
      <c r="C127" s="544" t="s">
        <v>48</v>
      </c>
      <c r="D127" s="531">
        <v>160</v>
      </c>
      <c r="E127" s="526">
        <v>1000</v>
      </c>
      <c r="F127" s="604">
        <f t="shared" si="21"/>
        <v>0.16</v>
      </c>
      <c r="G127" s="605"/>
      <c r="H127" s="526"/>
      <c r="I127" s="605">
        <v>0.16</v>
      </c>
      <c r="J127" s="528">
        <v>0.05</v>
      </c>
      <c r="K127" s="526" t="s">
        <v>45</v>
      </c>
      <c r="L127" s="604" t="s">
        <v>45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x14ac:dyDescent="0.2">
      <c r="A128" s="532">
        <v>2505</v>
      </c>
      <c r="B128" s="598" t="s">
        <v>1014</v>
      </c>
      <c r="C128" s="544" t="s">
        <v>694</v>
      </c>
      <c r="D128" s="531">
        <v>100</v>
      </c>
      <c r="E128" s="526">
        <v>1000</v>
      </c>
      <c r="F128" s="604">
        <f>D128/E128</f>
        <v>0.1</v>
      </c>
      <c r="G128" s="605">
        <v>100</v>
      </c>
      <c r="H128" s="526">
        <v>50</v>
      </c>
      <c r="I128" s="605">
        <f>G128/H128</f>
        <v>2</v>
      </c>
      <c r="J128" s="528">
        <v>1</v>
      </c>
      <c r="K128" s="526" t="s">
        <v>45</v>
      </c>
      <c r="L128" s="604" t="s">
        <v>45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x14ac:dyDescent="0.2">
      <c r="A129" s="532">
        <v>2506</v>
      </c>
      <c r="B129" s="598" t="s">
        <v>1014</v>
      </c>
      <c r="C129" s="544" t="s">
        <v>49</v>
      </c>
      <c r="D129" s="531">
        <v>825</v>
      </c>
      <c r="E129" s="526">
        <v>1000</v>
      </c>
      <c r="F129" s="604">
        <f t="shared" si="21"/>
        <v>0.82499999999999996</v>
      </c>
      <c r="G129" s="605">
        <v>80</v>
      </c>
      <c r="H129" s="526">
        <v>50</v>
      </c>
      <c r="I129" s="605">
        <f>G129/H129</f>
        <v>1.6</v>
      </c>
      <c r="J129" s="528">
        <v>0.05</v>
      </c>
      <c r="K129" s="526" t="s">
        <v>24</v>
      </c>
      <c r="L129" s="604" t="s">
        <v>27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x14ac:dyDescent="0.2">
      <c r="A130" s="613">
        <v>2507</v>
      </c>
      <c r="B130" s="598" t="s">
        <v>1014</v>
      </c>
      <c r="C130" s="544" t="s">
        <v>288</v>
      </c>
      <c r="D130" s="531">
        <v>40</v>
      </c>
      <c r="E130" s="526">
        <v>1000</v>
      </c>
      <c r="F130" s="604">
        <f t="shared" si="21"/>
        <v>0.04</v>
      </c>
      <c r="G130" s="605">
        <v>12</v>
      </c>
      <c r="H130" s="526">
        <v>10</v>
      </c>
      <c r="I130" s="605">
        <f t="shared" ref="I130:I137" si="22">G130/H130</f>
        <v>1.2</v>
      </c>
      <c r="J130" s="528">
        <v>1</v>
      </c>
      <c r="K130" s="526" t="s">
        <v>35</v>
      </c>
      <c r="L130" s="604" t="s">
        <v>25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x14ac:dyDescent="0.2">
      <c r="A131" s="613">
        <v>2508</v>
      </c>
      <c r="B131" s="598" t="s">
        <v>1014</v>
      </c>
      <c r="C131" s="544" t="s">
        <v>289</v>
      </c>
      <c r="D131" s="531">
        <v>100</v>
      </c>
      <c r="E131" s="526">
        <v>1000</v>
      </c>
      <c r="F131" s="604">
        <f t="shared" si="21"/>
        <v>0.1</v>
      </c>
      <c r="G131" s="605">
        <v>5.8</v>
      </c>
      <c r="H131" s="526">
        <v>10</v>
      </c>
      <c r="I131" s="605">
        <f t="shared" si="22"/>
        <v>0.57999999999999996</v>
      </c>
      <c r="J131" s="528">
        <v>1</v>
      </c>
      <c r="K131" s="526" t="s">
        <v>35</v>
      </c>
      <c r="L131" s="604" t="s">
        <v>25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x14ac:dyDescent="0.2">
      <c r="A132" s="532">
        <v>2509</v>
      </c>
      <c r="B132" s="598" t="s">
        <v>1014</v>
      </c>
      <c r="C132" s="544" t="s">
        <v>50</v>
      </c>
      <c r="D132" s="531">
        <v>494</v>
      </c>
      <c r="E132" s="526">
        <v>1000</v>
      </c>
      <c r="F132" s="604">
        <f t="shared" si="21"/>
        <v>0.49399999999999999</v>
      </c>
      <c r="G132" s="605">
        <v>64</v>
      </c>
      <c r="H132" s="526">
        <v>50</v>
      </c>
      <c r="I132" s="605">
        <f t="shared" si="22"/>
        <v>1.28</v>
      </c>
      <c r="J132" s="528">
        <v>0.05</v>
      </c>
      <c r="K132" s="526" t="s">
        <v>24</v>
      </c>
      <c r="L132" s="604" t="s">
        <v>25</v>
      </c>
      <c r="M132" s="345"/>
      <c r="N132" s="345"/>
      <c r="O132" s="224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x14ac:dyDescent="0.2">
      <c r="A133" s="532">
        <v>2510</v>
      </c>
      <c r="B133" s="598" t="s">
        <v>1014</v>
      </c>
      <c r="C133" s="544" t="s">
        <v>290</v>
      </c>
      <c r="D133" s="531">
        <v>100</v>
      </c>
      <c r="E133" s="526">
        <v>1000</v>
      </c>
      <c r="F133" s="604">
        <f t="shared" si="21"/>
        <v>0.1</v>
      </c>
      <c r="G133" s="605">
        <v>100</v>
      </c>
      <c r="H133" s="526">
        <v>10</v>
      </c>
      <c r="I133" s="605">
        <f t="shared" si="22"/>
        <v>10</v>
      </c>
      <c r="J133" s="528">
        <v>0.05</v>
      </c>
      <c r="K133" s="526" t="s">
        <v>24</v>
      </c>
      <c r="L133" s="604" t="s">
        <v>27</v>
      </c>
      <c r="M133" s="345"/>
      <c r="N133" s="345"/>
      <c r="O133" s="224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x14ac:dyDescent="0.2">
      <c r="A134" s="532">
        <v>2511</v>
      </c>
      <c r="B134" s="598" t="s">
        <v>1014</v>
      </c>
      <c r="C134" s="544" t="s">
        <v>51</v>
      </c>
      <c r="D134" s="531">
        <v>121</v>
      </c>
      <c r="E134" s="526">
        <v>1000</v>
      </c>
      <c r="F134" s="604">
        <f t="shared" si="21"/>
        <v>0.121</v>
      </c>
      <c r="G134" s="605">
        <v>22</v>
      </c>
      <c r="H134" s="526">
        <v>50</v>
      </c>
      <c r="I134" s="605">
        <f t="shared" si="22"/>
        <v>0.44</v>
      </c>
      <c r="J134" s="528">
        <v>0.5</v>
      </c>
      <c r="K134" s="526" t="s">
        <v>28</v>
      </c>
      <c r="L134" s="604" t="s">
        <v>25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x14ac:dyDescent="0.2">
      <c r="A135" s="532">
        <v>2512</v>
      </c>
      <c r="B135" s="598" t="s">
        <v>1014</v>
      </c>
      <c r="C135" s="544" t="s">
        <v>291</v>
      </c>
      <c r="D135" s="531">
        <v>650</v>
      </c>
      <c r="E135" s="526">
        <v>1000</v>
      </c>
      <c r="F135" s="604">
        <f t="shared" si="21"/>
        <v>0.65</v>
      </c>
      <c r="G135" s="605">
        <v>25</v>
      </c>
      <c r="H135" s="526">
        <v>50</v>
      </c>
      <c r="I135" s="605">
        <f t="shared" si="22"/>
        <v>0.5</v>
      </c>
      <c r="J135" s="528">
        <v>1</v>
      </c>
      <c r="K135" s="526" t="s">
        <v>35</v>
      </c>
      <c r="L135" s="604" t="s">
        <v>25</v>
      </c>
      <c r="M135" s="345"/>
      <c r="N135" s="345"/>
      <c r="O135" s="224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x14ac:dyDescent="0.2">
      <c r="A136" s="532">
        <v>2513</v>
      </c>
      <c r="B136" s="598" t="s">
        <v>1014</v>
      </c>
      <c r="C136" s="544" t="s">
        <v>52</v>
      </c>
      <c r="D136" s="531">
        <v>5.5</v>
      </c>
      <c r="E136" s="526">
        <v>1000</v>
      </c>
      <c r="F136" s="604">
        <f>D136/E136</f>
        <v>5.4999999999999997E-3</v>
      </c>
      <c r="G136" s="605">
        <v>0.66</v>
      </c>
      <c r="H136" s="526">
        <v>10</v>
      </c>
      <c r="I136" s="605">
        <f t="shared" si="22"/>
        <v>6.6000000000000003E-2</v>
      </c>
      <c r="J136" s="528">
        <v>0.05</v>
      </c>
      <c r="K136" s="526" t="s">
        <v>24</v>
      </c>
      <c r="L136" s="604" t="s">
        <v>25</v>
      </c>
      <c r="M136" s="345"/>
      <c r="N136" s="345"/>
      <c r="O136" s="224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x14ac:dyDescent="0.2">
      <c r="A137" s="532">
        <v>2514</v>
      </c>
      <c r="B137" s="598" t="s">
        <v>1014</v>
      </c>
      <c r="C137" s="544" t="s">
        <v>292</v>
      </c>
      <c r="D137" s="531">
        <v>1000</v>
      </c>
      <c r="E137" s="526">
        <v>1000</v>
      </c>
      <c r="F137" s="604">
        <f>D137/E137</f>
        <v>1</v>
      </c>
      <c r="G137" s="605">
        <v>423</v>
      </c>
      <c r="H137" s="526">
        <v>10</v>
      </c>
      <c r="I137" s="605">
        <f t="shared" si="22"/>
        <v>42.3</v>
      </c>
      <c r="J137" s="528">
        <v>0.5</v>
      </c>
      <c r="K137" s="526" t="s">
        <v>28</v>
      </c>
      <c r="L137" s="604" t="s">
        <v>25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x14ac:dyDescent="0.2">
      <c r="A138" s="532">
        <v>2515</v>
      </c>
      <c r="B138" s="598" t="s">
        <v>1014</v>
      </c>
      <c r="C138" s="544" t="s">
        <v>53</v>
      </c>
      <c r="D138" s="614"/>
      <c r="E138" s="615"/>
      <c r="F138" s="616">
        <v>10</v>
      </c>
      <c r="G138" s="617"/>
      <c r="H138" s="615"/>
      <c r="I138" s="617">
        <v>10</v>
      </c>
      <c r="J138" s="618">
        <v>1</v>
      </c>
      <c r="K138" s="615" t="s">
        <v>45</v>
      </c>
      <c r="L138" s="616" t="s">
        <v>45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x14ac:dyDescent="0.2">
      <c r="A139" s="532">
        <v>2516</v>
      </c>
      <c r="B139" s="598" t="s">
        <v>1014</v>
      </c>
      <c r="C139" s="544" t="s">
        <v>54</v>
      </c>
      <c r="D139" s="531"/>
      <c r="E139" s="526"/>
      <c r="F139" s="604">
        <v>10</v>
      </c>
      <c r="G139" s="605"/>
      <c r="H139" s="526"/>
      <c r="I139" s="605">
        <v>10</v>
      </c>
      <c r="J139" s="528">
        <v>0.05</v>
      </c>
      <c r="K139" s="526" t="s">
        <v>45</v>
      </c>
      <c r="L139" s="604" t="s">
        <v>45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x14ac:dyDescent="0.2">
      <c r="A140" s="532">
        <v>2517</v>
      </c>
      <c r="B140" s="598" t="s">
        <v>1014</v>
      </c>
      <c r="C140" s="619" t="s">
        <v>293</v>
      </c>
      <c r="D140" s="531">
        <v>100</v>
      </c>
      <c r="E140" s="526">
        <v>1000</v>
      </c>
      <c r="F140" s="604">
        <f t="shared" ref="F140:F142" si="23">D140/E140</f>
        <v>0.1</v>
      </c>
      <c r="G140" s="605"/>
      <c r="H140" s="526"/>
      <c r="I140" s="605">
        <f t="shared" ref="I140:I141" si="24">F140</f>
        <v>0.1</v>
      </c>
      <c r="J140" s="528">
        <v>0.05</v>
      </c>
      <c r="K140" s="526" t="s">
        <v>24</v>
      </c>
      <c r="L140" s="604" t="s">
        <v>27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x14ac:dyDescent="0.2">
      <c r="A141" s="532">
        <v>2518</v>
      </c>
      <c r="B141" s="598" t="s">
        <v>1014</v>
      </c>
      <c r="C141" s="619" t="s">
        <v>294</v>
      </c>
      <c r="D141" s="531">
        <v>100</v>
      </c>
      <c r="E141" s="526">
        <v>1000</v>
      </c>
      <c r="F141" s="604">
        <f t="shared" si="23"/>
        <v>0.1</v>
      </c>
      <c r="G141" s="605"/>
      <c r="H141" s="526"/>
      <c r="I141" s="605">
        <f t="shared" si="24"/>
        <v>0.1</v>
      </c>
      <c r="J141" s="528">
        <v>0.05</v>
      </c>
      <c r="K141" s="526" t="s">
        <v>24</v>
      </c>
      <c r="L141" s="604" t="s">
        <v>27</v>
      </c>
      <c r="M141" s="343"/>
      <c r="N141" s="343"/>
      <c r="O141" s="225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x14ac:dyDescent="0.2">
      <c r="A142" s="532">
        <v>2519</v>
      </c>
      <c r="B142" s="598" t="s">
        <v>1014</v>
      </c>
      <c r="C142" s="620" t="s">
        <v>295</v>
      </c>
      <c r="D142" s="531">
        <v>3.6</v>
      </c>
      <c r="E142" s="526">
        <v>1000</v>
      </c>
      <c r="F142" s="604">
        <f t="shared" si="23"/>
        <v>3.5999999999999999E-3</v>
      </c>
      <c r="G142" s="605">
        <v>0.47</v>
      </c>
      <c r="H142" s="526">
        <v>10</v>
      </c>
      <c r="I142" s="605">
        <f>G142/H142</f>
        <v>4.7E-2</v>
      </c>
      <c r="J142" s="528">
        <v>0.05</v>
      </c>
      <c r="K142" s="526" t="s">
        <v>24</v>
      </c>
      <c r="L142" s="604" t="s">
        <v>26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x14ac:dyDescent="0.2">
      <c r="A143" s="543">
        <v>2520</v>
      </c>
      <c r="B143" s="598" t="s">
        <v>1014</v>
      </c>
      <c r="C143" s="620" t="s">
        <v>695</v>
      </c>
      <c r="D143" s="531">
        <v>100</v>
      </c>
      <c r="E143" s="526">
        <v>1000</v>
      </c>
      <c r="F143" s="604">
        <v>0.1</v>
      </c>
      <c r="G143" s="605">
        <v>100</v>
      </c>
      <c r="H143" s="526">
        <v>50</v>
      </c>
      <c r="I143" s="605">
        <v>2</v>
      </c>
      <c r="J143" s="528">
        <v>0.05</v>
      </c>
      <c r="K143" s="526" t="s">
        <v>24</v>
      </c>
      <c r="L143" s="604" t="s">
        <v>27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x14ac:dyDescent="0.2">
      <c r="A144" s="532">
        <v>2521</v>
      </c>
      <c r="B144" s="598" t="s">
        <v>1014</v>
      </c>
      <c r="C144" s="606" t="s">
        <v>696</v>
      </c>
      <c r="D144" s="531">
        <v>21</v>
      </c>
      <c r="E144" s="526">
        <v>10000</v>
      </c>
      <c r="F144" s="604">
        <f>D144/E144</f>
        <v>2.0999999999999999E-3</v>
      </c>
      <c r="G144" s="605"/>
      <c r="H144" s="526"/>
      <c r="I144" s="605">
        <f>+F144</f>
        <v>2.0999999999999999E-3</v>
      </c>
      <c r="J144" s="528">
        <v>0.05</v>
      </c>
      <c r="K144" s="526" t="s">
        <v>24</v>
      </c>
      <c r="L144" s="604" t="s">
        <v>27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x14ac:dyDescent="0.2">
      <c r="A145" s="532">
        <v>2522</v>
      </c>
      <c r="B145" s="598" t="s">
        <v>1014</v>
      </c>
      <c r="C145" s="606" t="s">
        <v>296</v>
      </c>
      <c r="D145" s="621">
        <v>100</v>
      </c>
      <c r="E145" s="519">
        <v>1000</v>
      </c>
      <c r="F145" s="622">
        <f>D145/E145</f>
        <v>0.1</v>
      </c>
      <c r="G145" s="623"/>
      <c r="H145" s="519"/>
      <c r="I145" s="623">
        <f>F145</f>
        <v>0.1</v>
      </c>
      <c r="J145" s="521">
        <v>0.05</v>
      </c>
      <c r="K145" s="519" t="s">
        <v>24</v>
      </c>
      <c r="L145" s="622" t="s">
        <v>26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x14ac:dyDescent="0.2">
      <c r="A146" s="532">
        <v>2523</v>
      </c>
      <c r="B146" s="598" t="s">
        <v>1014</v>
      </c>
      <c r="C146" s="544" t="s">
        <v>297</v>
      </c>
      <c r="D146" s="621">
        <v>207</v>
      </c>
      <c r="E146" s="519">
        <v>1000</v>
      </c>
      <c r="F146" s="622">
        <f>D146/E146</f>
        <v>0.20699999999999999</v>
      </c>
      <c r="G146" s="623"/>
      <c r="H146" s="519"/>
      <c r="I146" s="623">
        <f>F146</f>
        <v>0.20699999999999999</v>
      </c>
      <c r="J146" s="521">
        <v>1</v>
      </c>
      <c r="K146" s="519" t="s">
        <v>45</v>
      </c>
      <c r="L146" s="622" t="s">
        <v>45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x14ac:dyDescent="0.2">
      <c r="A147" s="532">
        <v>2524</v>
      </c>
      <c r="B147" s="598" t="s">
        <v>1014</v>
      </c>
      <c r="C147" s="544" t="s">
        <v>55</v>
      </c>
      <c r="D147" s="531">
        <v>410</v>
      </c>
      <c r="E147" s="526">
        <v>1000</v>
      </c>
      <c r="F147" s="604">
        <f t="shared" ref="F147:F148" si="25">D147/E147</f>
        <v>0.41</v>
      </c>
      <c r="G147" s="605"/>
      <c r="H147" s="526"/>
      <c r="I147" s="605">
        <f t="shared" ref="I147:I148" si="26">F147</f>
        <v>0.41</v>
      </c>
      <c r="J147" s="528">
        <v>0.05</v>
      </c>
      <c r="K147" s="526" t="s">
        <v>24</v>
      </c>
      <c r="L147" s="604" t="s">
        <v>25</v>
      </c>
      <c r="M147" s="345"/>
      <c r="N147" s="345"/>
      <c r="O147" s="224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x14ac:dyDescent="0.2">
      <c r="A148" s="532">
        <v>2525</v>
      </c>
      <c r="B148" s="598" t="s">
        <v>1014</v>
      </c>
      <c r="C148" s="544" t="s">
        <v>56</v>
      </c>
      <c r="D148" s="531">
        <v>14</v>
      </c>
      <c r="E148" s="526">
        <v>1000</v>
      </c>
      <c r="F148" s="604">
        <f t="shared" si="25"/>
        <v>1.4E-2</v>
      </c>
      <c r="G148" s="605"/>
      <c r="H148" s="526"/>
      <c r="I148" s="605">
        <f t="shared" si="26"/>
        <v>1.4E-2</v>
      </c>
      <c r="J148" s="528">
        <v>1</v>
      </c>
      <c r="K148" s="526" t="s">
        <v>45</v>
      </c>
      <c r="L148" s="604" t="s">
        <v>45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x14ac:dyDescent="0.2">
      <c r="A149" s="532">
        <v>2526</v>
      </c>
      <c r="B149" s="598" t="s">
        <v>1014</v>
      </c>
      <c r="C149" s="544" t="s">
        <v>298</v>
      </c>
      <c r="D149" s="531">
        <v>4.9000000000000004</v>
      </c>
      <c r="E149" s="526">
        <v>1000</v>
      </c>
      <c r="F149" s="604">
        <f>D149/E149</f>
        <v>4.9000000000000007E-3</v>
      </c>
      <c r="G149" s="605">
        <v>0.7</v>
      </c>
      <c r="H149" s="526">
        <v>50</v>
      </c>
      <c r="I149" s="605">
        <f>G149/H149</f>
        <v>1.3999999999999999E-2</v>
      </c>
      <c r="J149" s="528">
        <v>0.01</v>
      </c>
      <c r="K149" s="526" t="s">
        <v>45</v>
      </c>
      <c r="L149" s="604" t="s">
        <v>45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x14ac:dyDescent="0.2">
      <c r="A150" s="532">
        <v>2527</v>
      </c>
      <c r="B150" s="598" t="s">
        <v>1014</v>
      </c>
      <c r="C150" s="544" t="s">
        <v>299</v>
      </c>
      <c r="D150" s="531">
        <v>2.4</v>
      </c>
      <c r="E150" s="526">
        <v>1000</v>
      </c>
      <c r="F150" s="604">
        <f>D150/E150</f>
        <v>2.3999999999999998E-3</v>
      </c>
      <c r="G150" s="605">
        <v>0.22</v>
      </c>
      <c r="H150" s="526">
        <v>50</v>
      </c>
      <c r="I150" s="605">
        <f>G150/H150</f>
        <v>4.4000000000000003E-3</v>
      </c>
      <c r="J150" s="528">
        <v>0.01</v>
      </c>
      <c r="K150" s="526" t="s">
        <v>45</v>
      </c>
      <c r="L150" s="604" t="s">
        <v>45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x14ac:dyDescent="0.2">
      <c r="A151" s="532">
        <v>2528</v>
      </c>
      <c r="B151" s="598" t="s">
        <v>1014</v>
      </c>
      <c r="C151" s="544" t="s">
        <v>57</v>
      </c>
      <c r="D151" s="531">
        <v>250</v>
      </c>
      <c r="E151" s="526">
        <v>1000</v>
      </c>
      <c r="F151" s="604">
        <f t="shared" ref="F151:F156" si="27">D151/E151</f>
        <v>0.25</v>
      </c>
      <c r="G151" s="605">
        <v>500</v>
      </c>
      <c r="H151" s="526">
        <v>50</v>
      </c>
      <c r="I151" s="605">
        <v>10</v>
      </c>
      <c r="J151" s="528">
        <v>0.05</v>
      </c>
      <c r="K151" s="526" t="s">
        <v>24</v>
      </c>
      <c r="L151" s="604" t="s">
        <v>27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x14ac:dyDescent="0.2">
      <c r="A152" s="532">
        <v>2529</v>
      </c>
      <c r="B152" s="598" t="s">
        <v>1014</v>
      </c>
      <c r="C152" s="544" t="s">
        <v>300</v>
      </c>
      <c r="D152" s="531">
        <v>1000</v>
      </c>
      <c r="E152" s="526">
        <v>1000</v>
      </c>
      <c r="F152" s="604">
        <f t="shared" si="27"/>
        <v>1</v>
      </c>
      <c r="G152" s="605"/>
      <c r="H152" s="526"/>
      <c r="I152" s="605">
        <f t="shared" ref="I152" si="28">F152</f>
        <v>1</v>
      </c>
      <c r="J152" s="528">
        <v>0.05</v>
      </c>
      <c r="K152" s="526" t="s">
        <v>24</v>
      </c>
      <c r="L152" s="604" t="s">
        <v>27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x14ac:dyDescent="0.2">
      <c r="A153" s="543">
        <v>2530</v>
      </c>
      <c r="B153" s="598" t="s">
        <v>1014</v>
      </c>
      <c r="C153" s="544" t="s">
        <v>697</v>
      </c>
      <c r="D153" s="531">
        <v>100</v>
      </c>
      <c r="E153" s="526">
        <v>1000</v>
      </c>
      <c r="F153" s="604">
        <f t="shared" si="27"/>
        <v>0.1</v>
      </c>
      <c r="G153" s="605">
        <v>100</v>
      </c>
      <c r="H153" s="526">
        <v>50</v>
      </c>
      <c r="I153" s="617">
        <f>G153/H153</f>
        <v>2</v>
      </c>
      <c r="J153" s="528">
        <v>0.05</v>
      </c>
      <c r="K153" s="526" t="s">
        <v>24</v>
      </c>
      <c r="L153" s="604" t="s">
        <v>27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x14ac:dyDescent="0.2">
      <c r="A154" s="532">
        <v>2531</v>
      </c>
      <c r="B154" s="598" t="s">
        <v>1014</v>
      </c>
      <c r="C154" s="544" t="s">
        <v>58</v>
      </c>
      <c r="D154" s="531">
        <v>90</v>
      </c>
      <c r="E154" s="526">
        <v>1000</v>
      </c>
      <c r="F154" s="604">
        <f t="shared" si="27"/>
        <v>0.09</v>
      </c>
      <c r="G154" s="605">
        <v>0.78</v>
      </c>
      <c r="H154" s="526">
        <v>50</v>
      </c>
      <c r="I154" s="605">
        <f>G154/H154</f>
        <v>1.5600000000000001E-2</v>
      </c>
      <c r="J154" s="528">
        <v>0.05</v>
      </c>
      <c r="K154" s="526" t="s">
        <v>24</v>
      </c>
      <c r="L154" s="604" t="s">
        <v>27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x14ac:dyDescent="0.2">
      <c r="A155" s="532">
        <v>2532</v>
      </c>
      <c r="B155" s="598" t="s">
        <v>1014</v>
      </c>
      <c r="C155" s="544" t="s">
        <v>59</v>
      </c>
      <c r="D155" s="531">
        <v>1000</v>
      </c>
      <c r="E155" s="526">
        <v>1000</v>
      </c>
      <c r="F155" s="604">
        <f t="shared" si="27"/>
        <v>1</v>
      </c>
      <c r="G155" s="605"/>
      <c r="H155" s="526"/>
      <c r="I155" s="605">
        <f>F155</f>
        <v>1</v>
      </c>
      <c r="J155" s="528">
        <v>0.5</v>
      </c>
      <c r="K155" s="526" t="s">
        <v>28</v>
      </c>
      <c r="L155" s="604" t="s">
        <v>25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x14ac:dyDescent="0.2">
      <c r="A156" s="532">
        <v>2533</v>
      </c>
      <c r="B156" s="598" t="s">
        <v>1014</v>
      </c>
      <c r="C156" s="544" t="s">
        <v>60</v>
      </c>
      <c r="D156" s="531">
        <v>250</v>
      </c>
      <c r="E156" s="526">
        <v>5000</v>
      </c>
      <c r="F156" s="604">
        <f t="shared" si="27"/>
        <v>0.05</v>
      </c>
      <c r="G156" s="605"/>
      <c r="H156" s="526"/>
      <c r="I156" s="605">
        <f>F156</f>
        <v>0.05</v>
      </c>
      <c r="J156" s="528">
        <v>0.5</v>
      </c>
      <c r="K156" s="526" t="s">
        <v>28</v>
      </c>
      <c r="L156" s="604" t="s">
        <v>25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x14ac:dyDescent="0.2">
      <c r="A157" s="532">
        <v>2534</v>
      </c>
      <c r="B157" s="598" t="s">
        <v>1014</v>
      </c>
      <c r="C157" s="544" t="s">
        <v>61</v>
      </c>
      <c r="D157" s="531"/>
      <c r="E157" s="526"/>
      <c r="F157" s="604">
        <v>10</v>
      </c>
      <c r="G157" s="605"/>
      <c r="H157" s="526"/>
      <c r="I157" s="605">
        <v>10</v>
      </c>
      <c r="J157" s="528">
        <v>0.05</v>
      </c>
      <c r="K157" s="526" t="s">
        <v>45</v>
      </c>
      <c r="L157" s="604" t="s">
        <v>45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x14ac:dyDescent="0.2">
      <c r="A158" s="532">
        <v>2535</v>
      </c>
      <c r="B158" s="598" t="s">
        <v>1014</v>
      </c>
      <c r="C158" s="544" t="s">
        <v>698</v>
      </c>
      <c r="D158" s="531"/>
      <c r="E158" s="526"/>
      <c r="F158" s="604">
        <v>10</v>
      </c>
      <c r="G158" s="605"/>
      <c r="H158" s="526"/>
      <c r="I158" s="605">
        <v>10</v>
      </c>
      <c r="J158" s="528">
        <v>1</v>
      </c>
      <c r="K158" s="526" t="s">
        <v>45</v>
      </c>
      <c r="L158" s="604" t="s">
        <v>45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x14ac:dyDescent="0.2">
      <c r="A159" s="532">
        <v>2536</v>
      </c>
      <c r="B159" s="598" t="s">
        <v>1014</v>
      </c>
      <c r="C159" s="544" t="s">
        <v>62</v>
      </c>
      <c r="D159" s="531">
        <v>9100</v>
      </c>
      <c r="E159" s="526">
        <v>5000</v>
      </c>
      <c r="F159" s="604">
        <f t="shared" ref="F159" si="29">D159/E159</f>
        <v>1.82</v>
      </c>
      <c r="G159" s="605"/>
      <c r="H159" s="526"/>
      <c r="I159" s="605">
        <f>F159</f>
        <v>1.82</v>
      </c>
      <c r="J159" s="528">
        <v>0.5</v>
      </c>
      <c r="K159" s="526" t="s">
        <v>28</v>
      </c>
      <c r="L159" s="604" t="s">
        <v>26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x14ac:dyDescent="0.2">
      <c r="A160" s="532">
        <v>2537</v>
      </c>
      <c r="B160" s="598" t="s">
        <v>1014</v>
      </c>
      <c r="C160" s="544" t="s">
        <v>699</v>
      </c>
      <c r="D160" s="531"/>
      <c r="E160" s="526"/>
      <c r="F160" s="604">
        <v>10</v>
      </c>
      <c r="G160" s="605"/>
      <c r="H160" s="526"/>
      <c r="I160" s="605">
        <v>10</v>
      </c>
      <c r="J160" s="528">
        <v>1</v>
      </c>
      <c r="K160" s="526" t="s">
        <v>45</v>
      </c>
      <c r="L160" s="604" t="s">
        <v>45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2">
      <c r="A161" s="532">
        <v>2538</v>
      </c>
      <c r="B161" s="598" t="s">
        <v>1014</v>
      </c>
      <c r="C161" s="544" t="s">
        <v>301</v>
      </c>
      <c r="D161" s="531">
        <v>1000</v>
      </c>
      <c r="E161" s="526">
        <v>10000</v>
      </c>
      <c r="F161" s="604">
        <f t="shared" ref="F161:F167" si="30">D161/E161</f>
        <v>0.1</v>
      </c>
      <c r="G161" s="605"/>
      <c r="H161" s="526"/>
      <c r="I161" s="605">
        <f t="shared" ref="I161:I163" si="31">F161</f>
        <v>0.1</v>
      </c>
      <c r="J161" s="528">
        <v>1</v>
      </c>
      <c r="K161" s="526" t="s">
        <v>35</v>
      </c>
      <c r="L161" s="604" t="s">
        <v>25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2">
      <c r="A162" s="532">
        <v>2539</v>
      </c>
      <c r="B162" s="598" t="s">
        <v>1014</v>
      </c>
      <c r="C162" s="544" t="s">
        <v>302</v>
      </c>
      <c r="D162" s="531">
        <v>1000</v>
      </c>
      <c r="E162" s="526">
        <v>10000</v>
      </c>
      <c r="F162" s="604">
        <f t="shared" si="30"/>
        <v>0.1</v>
      </c>
      <c r="G162" s="605"/>
      <c r="H162" s="526"/>
      <c r="I162" s="605">
        <f t="shared" si="31"/>
        <v>0.1</v>
      </c>
      <c r="J162" s="528">
        <v>0.05</v>
      </c>
      <c r="K162" s="526" t="s">
        <v>24</v>
      </c>
      <c r="L162" s="604" t="s">
        <v>27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x14ac:dyDescent="0.2">
      <c r="A163" s="532">
        <v>2540</v>
      </c>
      <c r="B163" s="598" t="s">
        <v>1014</v>
      </c>
      <c r="C163" s="544" t="s">
        <v>63</v>
      </c>
      <c r="D163" s="531">
        <v>450</v>
      </c>
      <c r="E163" s="526">
        <v>1000</v>
      </c>
      <c r="F163" s="604">
        <f t="shared" si="30"/>
        <v>0.45</v>
      </c>
      <c r="G163" s="605"/>
      <c r="H163" s="526"/>
      <c r="I163" s="605">
        <f t="shared" si="31"/>
        <v>0.45</v>
      </c>
      <c r="J163" s="528">
        <v>0.05</v>
      </c>
      <c r="K163" s="526" t="s">
        <v>24</v>
      </c>
      <c r="L163" s="604" t="s">
        <v>26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x14ac:dyDescent="0.2">
      <c r="A164" s="532">
        <v>2541</v>
      </c>
      <c r="B164" s="598" t="s">
        <v>1014</v>
      </c>
      <c r="C164" s="544" t="s">
        <v>700</v>
      </c>
      <c r="D164" s="531">
        <v>230</v>
      </c>
      <c r="E164" s="526">
        <v>1000</v>
      </c>
      <c r="F164" s="604">
        <f t="shared" si="30"/>
        <v>0.23</v>
      </c>
      <c r="G164" s="605">
        <v>31</v>
      </c>
      <c r="H164" s="526">
        <v>100</v>
      </c>
      <c r="I164" s="605">
        <f>G164/H164</f>
        <v>0.31</v>
      </c>
      <c r="J164" s="528">
        <v>0.15</v>
      </c>
      <c r="K164" s="526" t="s">
        <v>24</v>
      </c>
      <c r="L164" s="604" t="s">
        <v>25</v>
      </c>
      <c r="M164" s="345"/>
      <c r="N164" s="345"/>
      <c r="O164" s="224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x14ac:dyDescent="0.2">
      <c r="A165" s="532">
        <v>2542</v>
      </c>
      <c r="B165" s="598" t="s">
        <v>1014</v>
      </c>
      <c r="C165" s="544" t="s">
        <v>64</v>
      </c>
      <c r="D165" s="531"/>
      <c r="E165" s="526"/>
      <c r="F165" s="604">
        <v>10</v>
      </c>
      <c r="G165" s="605"/>
      <c r="H165" s="526"/>
      <c r="I165" s="605">
        <v>10</v>
      </c>
      <c r="J165" s="528">
        <v>0.05</v>
      </c>
      <c r="K165" s="526" t="s">
        <v>45</v>
      </c>
      <c r="L165" s="604" t="s">
        <v>45</v>
      </c>
      <c r="M165" s="345"/>
      <c r="N165" s="345"/>
      <c r="O165" s="224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x14ac:dyDescent="0.2">
      <c r="A166" s="532">
        <v>2543</v>
      </c>
      <c r="B166" s="598" t="s">
        <v>1014</v>
      </c>
      <c r="C166" s="544" t="s">
        <v>303</v>
      </c>
      <c r="D166" s="531">
        <v>28</v>
      </c>
      <c r="E166" s="526">
        <v>1000</v>
      </c>
      <c r="F166" s="604">
        <f t="shared" si="30"/>
        <v>2.8000000000000001E-2</v>
      </c>
      <c r="G166" s="605">
        <v>0.05</v>
      </c>
      <c r="H166" s="526">
        <v>10</v>
      </c>
      <c r="I166" s="605">
        <f>G166/H166</f>
        <v>5.0000000000000001E-3</v>
      </c>
      <c r="J166" s="528">
        <v>0.05</v>
      </c>
      <c r="K166" s="526" t="s">
        <v>45</v>
      </c>
      <c r="L166" s="604" t="s">
        <v>45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x14ac:dyDescent="0.2">
      <c r="A167" s="543">
        <v>2544</v>
      </c>
      <c r="B167" s="598" t="s">
        <v>1014</v>
      </c>
      <c r="C167" s="544" t="s">
        <v>701</v>
      </c>
      <c r="D167" s="531">
        <v>25</v>
      </c>
      <c r="E167" s="526">
        <v>5000</v>
      </c>
      <c r="F167" s="604">
        <f t="shared" si="30"/>
        <v>5.0000000000000001E-3</v>
      </c>
      <c r="G167" s="605"/>
      <c r="H167" s="526"/>
      <c r="I167" s="605">
        <f t="shared" ref="I167" si="32">F167</f>
        <v>5.0000000000000001E-3</v>
      </c>
      <c r="J167" s="528">
        <v>0.05</v>
      </c>
      <c r="K167" s="526" t="s">
        <v>24</v>
      </c>
      <c r="L167" s="604" t="s">
        <v>27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x14ac:dyDescent="0.2">
      <c r="A168" s="532">
        <v>2545</v>
      </c>
      <c r="B168" s="598" t="s">
        <v>1014</v>
      </c>
      <c r="C168" s="606" t="s">
        <v>117</v>
      </c>
      <c r="D168" s="531">
        <v>113</v>
      </c>
      <c r="E168" s="526">
        <v>5000</v>
      </c>
      <c r="F168" s="624">
        <f>D168/E168</f>
        <v>2.2599999999999999E-2</v>
      </c>
      <c r="G168" s="605"/>
      <c r="H168" s="526"/>
      <c r="I168" s="625">
        <f>+F168</f>
        <v>2.2599999999999999E-2</v>
      </c>
      <c r="J168" s="528">
        <v>0.05</v>
      </c>
      <c r="K168" s="526" t="s">
        <v>24</v>
      </c>
      <c r="L168" s="604" t="s">
        <v>26</v>
      </c>
      <c r="M168" s="345"/>
      <c r="N168" s="345"/>
      <c r="O168" s="224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x14ac:dyDescent="0.2">
      <c r="A169" s="532">
        <v>2546</v>
      </c>
      <c r="B169" s="598" t="s">
        <v>1014</v>
      </c>
      <c r="C169" s="544" t="s">
        <v>304</v>
      </c>
      <c r="D169" s="531">
        <v>0.17</v>
      </c>
      <c r="E169" s="526">
        <v>1000</v>
      </c>
      <c r="F169" s="604">
        <f>D169/E169</f>
        <v>1.7000000000000001E-4</v>
      </c>
      <c r="G169" s="605">
        <v>6.0000000000000001E-3</v>
      </c>
      <c r="H169" s="526">
        <v>50</v>
      </c>
      <c r="I169" s="605">
        <f>G169/H169</f>
        <v>1.2E-4</v>
      </c>
      <c r="J169" s="528">
        <v>0.01</v>
      </c>
      <c r="K169" s="526" t="s">
        <v>24</v>
      </c>
      <c r="L169" s="604" t="s">
        <v>27</v>
      </c>
      <c r="M169" s="345"/>
      <c r="N169" s="345"/>
      <c r="O169" s="224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2">
      <c r="A170" s="532">
        <v>2547</v>
      </c>
      <c r="B170" s="598" t="s">
        <v>1014</v>
      </c>
      <c r="C170" s="544" t="s">
        <v>305</v>
      </c>
      <c r="D170" s="531">
        <v>18</v>
      </c>
      <c r="E170" s="526">
        <v>1000</v>
      </c>
      <c r="F170" s="604">
        <f>D170/E170</f>
        <v>1.7999999999999999E-2</v>
      </c>
      <c r="G170" s="605"/>
      <c r="H170" s="526"/>
      <c r="I170" s="605">
        <f>F170</f>
        <v>1.7999999999999999E-2</v>
      </c>
      <c r="J170" s="528">
        <v>0.01</v>
      </c>
      <c r="K170" s="526" t="s">
        <v>24</v>
      </c>
      <c r="L170" s="604" t="s">
        <v>27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x14ac:dyDescent="0.2">
      <c r="A171" s="532">
        <v>2548</v>
      </c>
      <c r="B171" s="598" t="s">
        <v>1014</v>
      </c>
      <c r="C171" s="544" t="s">
        <v>306</v>
      </c>
      <c r="D171" s="531">
        <v>1972</v>
      </c>
      <c r="E171" s="526">
        <v>1000</v>
      </c>
      <c r="F171" s="604">
        <f>D171/E171</f>
        <v>1.972</v>
      </c>
      <c r="G171" s="605"/>
      <c r="H171" s="526"/>
      <c r="I171" s="625">
        <f>+F171</f>
        <v>1.972</v>
      </c>
      <c r="J171" s="528">
        <v>0.05</v>
      </c>
      <c r="K171" s="526" t="s">
        <v>24</v>
      </c>
      <c r="L171" s="604" t="s">
        <v>26</v>
      </c>
      <c r="M171" s="345"/>
      <c r="N171" s="345"/>
      <c r="O171" s="224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x14ac:dyDescent="0.2">
      <c r="A172" s="532">
        <v>2549</v>
      </c>
      <c r="B172" s="598" t="s">
        <v>1014</v>
      </c>
      <c r="C172" s="544" t="s">
        <v>65</v>
      </c>
      <c r="D172" s="531">
        <v>2</v>
      </c>
      <c r="E172" s="526">
        <v>1000</v>
      </c>
      <c r="F172" s="604">
        <f t="shared" ref="F172:F226" si="33">D172/E172</f>
        <v>2E-3</v>
      </c>
      <c r="G172" s="605"/>
      <c r="H172" s="526"/>
      <c r="I172" s="605">
        <f t="shared" ref="I172:I176" si="34">F172</f>
        <v>2E-3</v>
      </c>
      <c r="J172" s="528">
        <v>0.5</v>
      </c>
      <c r="K172" s="526" t="s">
        <v>28</v>
      </c>
      <c r="L172" s="604" t="s">
        <v>25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2">
      <c r="A173" s="532">
        <v>2550</v>
      </c>
      <c r="B173" s="598" t="s">
        <v>1014</v>
      </c>
      <c r="C173" s="544" t="s">
        <v>66</v>
      </c>
      <c r="D173" s="531">
        <v>10</v>
      </c>
      <c r="E173" s="526">
        <v>1000</v>
      </c>
      <c r="F173" s="604">
        <f>D173/E173</f>
        <v>0.01</v>
      </c>
      <c r="G173" s="605"/>
      <c r="H173" s="526"/>
      <c r="I173" s="605">
        <f t="shared" si="34"/>
        <v>0.01</v>
      </c>
      <c r="J173" s="528">
        <v>1</v>
      </c>
      <c r="K173" s="526" t="s">
        <v>35</v>
      </c>
      <c r="L173" s="604" t="s">
        <v>25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x14ac:dyDescent="0.2">
      <c r="A174" s="532">
        <v>2551</v>
      </c>
      <c r="B174" s="598" t="s">
        <v>1014</v>
      </c>
      <c r="C174" s="544" t="s">
        <v>307</v>
      </c>
      <c r="D174" s="531">
        <v>100</v>
      </c>
      <c r="E174" s="526">
        <v>1000</v>
      </c>
      <c r="F174" s="604">
        <f t="shared" ref="F174" si="35">D174/E174</f>
        <v>0.1</v>
      </c>
      <c r="G174" s="605"/>
      <c r="H174" s="526"/>
      <c r="I174" s="605">
        <f t="shared" si="34"/>
        <v>0.1</v>
      </c>
      <c r="J174" s="528">
        <v>0.05</v>
      </c>
      <c r="K174" s="526" t="s">
        <v>24</v>
      </c>
      <c r="L174" s="604" t="s">
        <v>27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x14ac:dyDescent="0.2">
      <c r="A175" s="532">
        <v>2552</v>
      </c>
      <c r="B175" s="598" t="s">
        <v>1014</v>
      </c>
      <c r="C175" s="544" t="s">
        <v>67</v>
      </c>
      <c r="D175" s="531">
        <v>655</v>
      </c>
      <c r="E175" s="526">
        <v>1000</v>
      </c>
      <c r="F175" s="604">
        <f t="shared" si="33"/>
        <v>0.65500000000000003</v>
      </c>
      <c r="G175" s="605"/>
      <c r="H175" s="526"/>
      <c r="I175" s="605">
        <f t="shared" si="34"/>
        <v>0.65500000000000003</v>
      </c>
      <c r="J175" s="528">
        <v>1</v>
      </c>
      <c r="K175" s="526" t="s">
        <v>35</v>
      </c>
      <c r="L175" s="604" t="s">
        <v>26</v>
      </c>
      <c r="M175" s="345"/>
      <c r="N175" s="345"/>
      <c r="O175" s="224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2">
      <c r="A176" s="532">
        <v>2553</v>
      </c>
      <c r="B176" s="598" t="s">
        <v>1014</v>
      </c>
      <c r="C176" s="544" t="s">
        <v>68</v>
      </c>
      <c r="D176" s="531">
        <v>530</v>
      </c>
      <c r="E176" s="526">
        <v>1000</v>
      </c>
      <c r="F176" s="604">
        <f t="shared" si="33"/>
        <v>0.53</v>
      </c>
      <c r="G176" s="605"/>
      <c r="H176" s="526"/>
      <c r="I176" s="605">
        <f t="shared" si="34"/>
        <v>0.53</v>
      </c>
      <c r="J176" s="528">
        <v>1</v>
      </c>
      <c r="K176" s="526" t="s">
        <v>35</v>
      </c>
      <c r="L176" s="604" t="s">
        <v>25</v>
      </c>
      <c r="M176" s="345"/>
      <c r="N176" s="345"/>
      <c r="O176" s="224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2">
      <c r="A177" s="532">
        <v>2554</v>
      </c>
      <c r="B177" s="598" t="s">
        <v>1014</v>
      </c>
      <c r="C177" s="544" t="s">
        <v>69</v>
      </c>
      <c r="D177" s="531">
        <v>0.2</v>
      </c>
      <c r="E177" s="526">
        <v>1000</v>
      </c>
      <c r="F177" s="604">
        <f t="shared" si="33"/>
        <v>2.0000000000000001E-4</v>
      </c>
      <c r="G177" s="605">
        <v>0.16</v>
      </c>
      <c r="H177" s="526">
        <v>100</v>
      </c>
      <c r="I177" s="605">
        <f>G177/H177</f>
        <v>1.6000000000000001E-3</v>
      </c>
      <c r="J177" s="528">
        <v>1</v>
      </c>
      <c r="K177" s="526" t="s">
        <v>35</v>
      </c>
      <c r="L177" s="604" t="s">
        <v>25</v>
      </c>
      <c r="M177" s="345"/>
      <c r="N177" s="345"/>
      <c r="O177" s="224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x14ac:dyDescent="0.2">
      <c r="A178" s="532">
        <v>2555</v>
      </c>
      <c r="B178" s="598" t="s">
        <v>1014</v>
      </c>
      <c r="C178" s="544" t="s">
        <v>702</v>
      </c>
      <c r="D178" s="531">
        <v>81</v>
      </c>
      <c r="E178" s="526">
        <v>1000</v>
      </c>
      <c r="F178" s="604">
        <f t="shared" si="33"/>
        <v>8.1000000000000003E-2</v>
      </c>
      <c r="G178" s="605">
        <v>11.7</v>
      </c>
      <c r="H178" s="526">
        <v>50</v>
      </c>
      <c r="I178" s="605">
        <v>0.23400000000000001</v>
      </c>
      <c r="J178" s="528">
        <v>0.05</v>
      </c>
      <c r="K178" s="526" t="s">
        <v>24</v>
      </c>
      <c r="L178" s="604" t="s">
        <v>25</v>
      </c>
      <c r="M178" s="345"/>
      <c r="N178" s="345"/>
      <c r="O178" s="224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x14ac:dyDescent="0.2">
      <c r="A179" s="532">
        <v>2556</v>
      </c>
      <c r="B179" s="598" t="s">
        <v>1014</v>
      </c>
      <c r="C179" s="544" t="s">
        <v>70</v>
      </c>
      <c r="D179" s="531">
        <v>100</v>
      </c>
      <c r="E179" s="526">
        <v>1000</v>
      </c>
      <c r="F179" s="604">
        <v>0.1</v>
      </c>
      <c r="G179" s="605">
        <v>5.5</v>
      </c>
      <c r="H179" s="526">
        <v>50</v>
      </c>
      <c r="I179" s="605">
        <v>0.11</v>
      </c>
      <c r="J179" s="528">
        <v>0.5</v>
      </c>
      <c r="K179" s="526" t="s">
        <v>28</v>
      </c>
      <c r="L179" s="604" t="s">
        <v>25</v>
      </c>
      <c r="M179" s="345"/>
      <c r="N179" s="345"/>
      <c r="O179" s="224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2">
      <c r="A180" s="532">
        <v>2557</v>
      </c>
      <c r="B180" s="598" t="s">
        <v>1014</v>
      </c>
      <c r="C180" s="544" t="s">
        <v>71</v>
      </c>
      <c r="D180" s="531">
        <v>10</v>
      </c>
      <c r="E180" s="526">
        <v>1000</v>
      </c>
      <c r="F180" s="604">
        <f t="shared" si="33"/>
        <v>0.01</v>
      </c>
      <c r="G180" s="605">
        <v>1</v>
      </c>
      <c r="H180" s="526">
        <v>10</v>
      </c>
      <c r="I180" s="605">
        <f>G180/H180</f>
        <v>0.1</v>
      </c>
      <c r="J180" s="528">
        <v>1</v>
      </c>
      <c r="K180" s="526" t="s">
        <v>35</v>
      </c>
      <c r="L180" s="604" t="s">
        <v>25</v>
      </c>
      <c r="M180" s="345"/>
      <c r="N180" s="345"/>
      <c r="O180" s="224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x14ac:dyDescent="0.2">
      <c r="A181" s="532">
        <v>2558</v>
      </c>
      <c r="B181" s="598" t="s">
        <v>1014</v>
      </c>
      <c r="C181" s="544" t="s">
        <v>72</v>
      </c>
      <c r="D181" s="531">
        <v>4.2249999999999996</v>
      </c>
      <c r="E181" s="526">
        <v>1000</v>
      </c>
      <c r="F181" s="604">
        <f t="shared" si="33"/>
        <v>4.2249999999999996E-3</v>
      </c>
      <c r="G181" s="605">
        <v>0.11</v>
      </c>
      <c r="H181" s="526">
        <v>50</v>
      </c>
      <c r="I181" s="605">
        <f>G181/H181</f>
        <v>2.2000000000000001E-3</v>
      </c>
      <c r="J181" s="528">
        <v>0.05</v>
      </c>
      <c r="K181" s="526" t="s">
        <v>24</v>
      </c>
      <c r="L181" s="604" t="s">
        <v>26</v>
      </c>
      <c r="M181" s="345"/>
      <c r="N181" s="345"/>
      <c r="O181" s="224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2">
      <c r="A182" s="532">
        <v>2559</v>
      </c>
      <c r="B182" s="598" t="s">
        <v>1014</v>
      </c>
      <c r="C182" s="544" t="s">
        <v>73</v>
      </c>
      <c r="D182" s="531">
        <v>0.26</v>
      </c>
      <c r="E182" s="526">
        <v>1000</v>
      </c>
      <c r="F182" s="604">
        <f>D182/E182</f>
        <v>2.6000000000000003E-4</v>
      </c>
      <c r="G182" s="605">
        <v>3.9600000000000003E-2</v>
      </c>
      <c r="H182" s="526">
        <v>50</v>
      </c>
      <c r="I182" s="626">
        <f>G182/H182</f>
        <v>7.9200000000000006E-4</v>
      </c>
      <c r="J182" s="528">
        <v>0.05</v>
      </c>
      <c r="K182" s="526" t="s">
        <v>24</v>
      </c>
      <c r="L182" s="604" t="s">
        <v>26</v>
      </c>
      <c r="M182" s="345"/>
      <c r="N182" s="345"/>
      <c r="O182" s="224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x14ac:dyDescent="0.2">
      <c r="A183" s="613">
        <v>2560</v>
      </c>
      <c r="B183" s="598" t="s">
        <v>1014</v>
      </c>
      <c r="C183" s="544" t="s">
        <v>74</v>
      </c>
      <c r="D183" s="531">
        <v>100</v>
      </c>
      <c r="E183" s="526">
        <v>1000</v>
      </c>
      <c r="F183" s="604">
        <f t="shared" si="33"/>
        <v>0.1</v>
      </c>
      <c r="G183" s="605"/>
      <c r="H183" s="526"/>
      <c r="I183" s="605">
        <f t="shared" ref="I183:I219" si="36">F183</f>
        <v>0.1</v>
      </c>
      <c r="J183" s="528">
        <v>0.05</v>
      </c>
      <c r="K183" s="526" t="s">
        <v>24</v>
      </c>
      <c r="L183" s="604" t="s">
        <v>27</v>
      </c>
      <c r="M183" s="345"/>
      <c r="N183" s="345"/>
      <c r="O183" s="224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2">
      <c r="A184" s="613">
        <v>2561</v>
      </c>
      <c r="B184" s="598" t="s">
        <v>1014</v>
      </c>
      <c r="C184" s="544" t="s">
        <v>75</v>
      </c>
      <c r="D184" s="531">
        <v>31</v>
      </c>
      <c r="E184" s="526">
        <v>1000</v>
      </c>
      <c r="F184" s="604">
        <f t="shared" si="33"/>
        <v>3.1E-2</v>
      </c>
      <c r="G184" s="605"/>
      <c r="H184" s="526"/>
      <c r="I184" s="605">
        <f t="shared" si="36"/>
        <v>3.1E-2</v>
      </c>
      <c r="J184" s="528">
        <v>0.05</v>
      </c>
      <c r="K184" s="526" t="s">
        <v>24</v>
      </c>
      <c r="L184" s="604" t="s">
        <v>26</v>
      </c>
      <c r="M184" s="345"/>
      <c r="N184" s="345"/>
      <c r="O184" s="224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2">
      <c r="A185" s="613">
        <v>2562</v>
      </c>
      <c r="B185" s="598" t="s">
        <v>1014</v>
      </c>
      <c r="C185" s="544" t="s">
        <v>76</v>
      </c>
      <c r="D185" s="531">
        <v>106</v>
      </c>
      <c r="E185" s="526">
        <v>1000</v>
      </c>
      <c r="F185" s="604">
        <f t="shared" si="33"/>
        <v>0.106</v>
      </c>
      <c r="G185" s="605"/>
      <c r="H185" s="526"/>
      <c r="I185" s="605">
        <f t="shared" si="36"/>
        <v>0.106</v>
      </c>
      <c r="J185" s="528">
        <v>0.05</v>
      </c>
      <c r="K185" s="526" t="s">
        <v>24</v>
      </c>
      <c r="L185" s="604" t="s">
        <v>27</v>
      </c>
      <c r="M185" s="345"/>
      <c r="N185" s="345"/>
      <c r="O185" s="224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x14ac:dyDescent="0.2">
      <c r="A186" s="613">
        <v>2563</v>
      </c>
      <c r="B186" s="598" t="s">
        <v>1014</v>
      </c>
      <c r="C186" s="544" t="s">
        <v>77</v>
      </c>
      <c r="D186" s="531">
        <v>106</v>
      </c>
      <c r="E186" s="526">
        <v>1000</v>
      </c>
      <c r="F186" s="604">
        <f t="shared" si="33"/>
        <v>0.106</v>
      </c>
      <c r="G186" s="605"/>
      <c r="H186" s="526"/>
      <c r="I186" s="605">
        <f t="shared" si="36"/>
        <v>0.106</v>
      </c>
      <c r="J186" s="528">
        <v>0.05</v>
      </c>
      <c r="K186" s="526" t="s">
        <v>24</v>
      </c>
      <c r="L186" s="604" t="s">
        <v>26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x14ac:dyDescent="0.2">
      <c r="A187" s="532">
        <v>2564</v>
      </c>
      <c r="B187" s="598" t="s">
        <v>1014</v>
      </c>
      <c r="C187" s="544" t="s">
        <v>78</v>
      </c>
      <c r="D187" s="531">
        <v>51</v>
      </c>
      <c r="E187" s="526">
        <v>1000</v>
      </c>
      <c r="F187" s="604">
        <v>5.0999999999999997E-2</v>
      </c>
      <c r="G187" s="605"/>
      <c r="H187" s="526"/>
      <c r="I187" s="605">
        <v>5.0999999999999997E-2</v>
      </c>
      <c r="J187" s="528">
        <v>0.05</v>
      </c>
      <c r="K187" s="526" t="s">
        <v>24</v>
      </c>
      <c r="L187" s="604" t="s">
        <v>26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">
      <c r="A188" s="613">
        <v>2565</v>
      </c>
      <c r="B188" s="598" t="s">
        <v>1014</v>
      </c>
      <c r="C188" s="544" t="s">
        <v>79</v>
      </c>
      <c r="D188" s="531">
        <v>138</v>
      </c>
      <c r="E188" s="526">
        <v>1000</v>
      </c>
      <c r="F188" s="604">
        <f t="shared" si="33"/>
        <v>0.13800000000000001</v>
      </c>
      <c r="G188" s="605"/>
      <c r="H188" s="526"/>
      <c r="I188" s="605">
        <f t="shared" si="36"/>
        <v>0.13800000000000001</v>
      </c>
      <c r="J188" s="528">
        <v>0.05</v>
      </c>
      <c r="K188" s="526" t="s">
        <v>45</v>
      </c>
      <c r="L188" s="604" t="s">
        <v>45</v>
      </c>
      <c r="M188" s="345"/>
      <c r="N188" s="345"/>
      <c r="O188" s="224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x14ac:dyDescent="0.2">
      <c r="A189" s="613">
        <v>2566</v>
      </c>
      <c r="B189" s="598" t="s">
        <v>1014</v>
      </c>
      <c r="C189" s="544" t="s">
        <v>80</v>
      </c>
      <c r="D189" s="531">
        <v>128</v>
      </c>
      <c r="E189" s="526">
        <v>5000</v>
      </c>
      <c r="F189" s="604">
        <f t="shared" si="33"/>
        <v>2.5600000000000001E-2</v>
      </c>
      <c r="G189" s="605"/>
      <c r="H189" s="526"/>
      <c r="I189" s="605">
        <f t="shared" si="36"/>
        <v>2.5600000000000001E-2</v>
      </c>
      <c r="J189" s="528">
        <v>0.05</v>
      </c>
      <c r="K189" s="526" t="s">
        <v>24</v>
      </c>
      <c r="L189" s="604" t="s">
        <v>26</v>
      </c>
      <c r="M189" s="345"/>
      <c r="N189" s="345"/>
      <c r="O189" s="224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x14ac:dyDescent="0.2">
      <c r="A190" s="613">
        <v>2567</v>
      </c>
      <c r="B190" s="598" t="s">
        <v>1014</v>
      </c>
      <c r="C190" s="544" t="s">
        <v>81</v>
      </c>
      <c r="D190" s="531">
        <v>30</v>
      </c>
      <c r="E190" s="526">
        <v>1000</v>
      </c>
      <c r="F190" s="604">
        <f t="shared" si="33"/>
        <v>0.03</v>
      </c>
      <c r="G190" s="605"/>
      <c r="H190" s="526"/>
      <c r="I190" s="605">
        <f t="shared" si="36"/>
        <v>0.03</v>
      </c>
      <c r="J190" s="528">
        <v>0.05</v>
      </c>
      <c r="K190" s="526" t="s">
        <v>24</v>
      </c>
      <c r="L190" s="604" t="s">
        <v>27</v>
      </c>
      <c r="M190" s="345"/>
      <c r="N190" s="345"/>
      <c r="O190" s="224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x14ac:dyDescent="0.2">
      <c r="A191" s="613">
        <v>2568</v>
      </c>
      <c r="B191" s="598" t="s">
        <v>1014</v>
      </c>
      <c r="C191" s="544" t="s">
        <v>82</v>
      </c>
      <c r="D191" s="531">
        <v>130</v>
      </c>
      <c r="E191" s="526">
        <v>1000</v>
      </c>
      <c r="F191" s="604">
        <f t="shared" si="33"/>
        <v>0.13</v>
      </c>
      <c r="G191" s="605"/>
      <c r="H191" s="526"/>
      <c r="I191" s="605">
        <f t="shared" si="36"/>
        <v>0.13</v>
      </c>
      <c r="J191" s="528">
        <v>0.05</v>
      </c>
      <c r="K191" s="526" t="s">
        <v>24</v>
      </c>
      <c r="L191" s="604" t="s">
        <v>27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2">
      <c r="A192" s="532">
        <v>2569</v>
      </c>
      <c r="B192" s="598" t="s">
        <v>1014</v>
      </c>
      <c r="C192" s="544" t="s">
        <v>83</v>
      </c>
      <c r="D192" s="531">
        <v>48</v>
      </c>
      <c r="E192" s="526">
        <v>1000</v>
      </c>
      <c r="F192" s="604">
        <f>D192/E192</f>
        <v>4.8000000000000001E-2</v>
      </c>
      <c r="G192" s="605"/>
      <c r="H192" s="526"/>
      <c r="I192" s="605">
        <f>F192</f>
        <v>4.8000000000000001E-2</v>
      </c>
      <c r="J192" s="528">
        <v>1</v>
      </c>
      <c r="K192" s="526" t="s">
        <v>45</v>
      </c>
      <c r="L192" s="604" t="s">
        <v>45</v>
      </c>
      <c r="M192" s="345"/>
      <c r="N192" s="345"/>
      <c r="O192" s="224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2">
      <c r="A193" s="532">
        <v>2570</v>
      </c>
      <c r="B193" s="598" t="s">
        <v>1014</v>
      </c>
      <c r="C193" s="544" t="s">
        <v>84</v>
      </c>
      <c r="D193" s="531">
        <v>100</v>
      </c>
      <c r="E193" s="526">
        <v>1000</v>
      </c>
      <c r="F193" s="604">
        <v>0.1</v>
      </c>
      <c r="G193" s="605">
        <v>10</v>
      </c>
      <c r="H193" s="526">
        <v>50</v>
      </c>
      <c r="I193" s="605">
        <v>0.2</v>
      </c>
      <c r="J193" s="528">
        <v>0.05</v>
      </c>
      <c r="K193" s="526" t="s">
        <v>24</v>
      </c>
      <c r="L193" s="604" t="s">
        <v>26</v>
      </c>
      <c r="M193" s="345"/>
      <c r="N193" s="345"/>
      <c r="O193" s="224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2">
      <c r="A194" s="532">
        <v>2571</v>
      </c>
      <c r="B194" s="598" t="s">
        <v>1014</v>
      </c>
      <c r="C194" s="544" t="s">
        <v>308</v>
      </c>
      <c r="D194" s="531">
        <v>31.2</v>
      </c>
      <c r="E194" s="526">
        <v>1000</v>
      </c>
      <c r="F194" s="604">
        <f t="shared" si="33"/>
        <v>3.1199999999999999E-2</v>
      </c>
      <c r="G194" s="605"/>
      <c r="H194" s="526"/>
      <c r="I194" s="605">
        <f>F194</f>
        <v>3.1199999999999999E-2</v>
      </c>
      <c r="J194" s="528">
        <v>0.05</v>
      </c>
      <c r="K194" s="526" t="s">
        <v>24</v>
      </c>
      <c r="L194" s="604" t="s">
        <v>26</v>
      </c>
      <c r="M194" s="345"/>
      <c r="N194" s="345"/>
      <c r="O194" s="224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2">
      <c r="A195" s="613">
        <v>2572</v>
      </c>
      <c r="B195" s="598" t="s">
        <v>1014</v>
      </c>
      <c r="C195" s="544" t="s">
        <v>85</v>
      </c>
      <c r="D195" s="531">
        <v>208</v>
      </c>
      <c r="E195" s="526">
        <v>5000</v>
      </c>
      <c r="F195" s="604">
        <f t="shared" si="33"/>
        <v>4.1599999999999998E-2</v>
      </c>
      <c r="G195" s="605"/>
      <c r="H195" s="526"/>
      <c r="I195" s="605">
        <f t="shared" si="36"/>
        <v>4.1599999999999998E-2</v>
      </c>
      <c r="J195" s="528">
        <v>0.05</v>
      </c>
      <c r="K195" s="526" t="s">
        <v>24</v>
      </c>
      <c r="L195" s="604" t="s">
        <v>26</v>
      </c>
      <c r="M195" s="345"/>
      <c r="N195" s="345"/>
      <c r="O195" s="224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2">
      <c r="A196" s="613">
        <v>2573</v>
      </c>
      <c r="B196" s="598" t="s">
        <v>1014</v>
      </c>
      <c r="C196" s="544" t="s">
        <v>86</v>
      </c>
      <c r="D196" s="531">
        <v>95</v>
      </c>
      <c r="E196" s="526">
        <v>5000</v>
      </c>
      <c r="F196" s="604">
        <f t="shared" si="33"/>
        <v>1.9E-2</v>
      </c>
      <c r="G196" s="605"/>
      <c r="H196" s="526"/>
      <c r="I196" s="605">
        <f t="shared" si="36"/>
        <v>1.9E-2</v>
      </c>
      <c r="J196" s="528">
        <v>0.05</v>
      </c>
      <c r="K196" s="526" t="s">
        <v>24</v>
      </c>
      <c r="L196" s="604" t="s">
        <v>26</v>
      </c>
      <c r="M196" s="345"/>
      <c r="N196" s="345"/>
      <c r="O196" s="224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2">
      <c r="A197" s="613">
        <v>2574</v>
      </c>
      <c r="B197" s="598" t="s">
        <v>1014</v>
      </c>
      <c r="C197" s="544" t="s">
        <v>87</v>
      </c>
      <c r="D197" s="531">
        <v>6500</v>
      </c>
      <c r="E197" s="526">
        <v>1000</v>
      </c>
      <c r="F197" s="604">
        <f t="shared" si="33"/>
        <v>6.5</v>
      </c>
      <c r="G197" s="605"/>
      <c r="H197" s="526"/>
      <c r="I197" s="605">
        <f t="shared" si="36"/>
        <v>6.5</v>
      </c>
      <c r="J197" s="528">
        <v>0.05</v>
      </c>
      <c r="K197" s="526" t="s">
        <v>24</v>
      </c>
      <c r="L197" s="604" t="s">
        <v>27</v>
      </c>
      <c r="M197" s="345"/>
      <c r="N197" s="345"/>
      <c r="O197" s="224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2">
      <c r="A198" s="532">
        <v>2575</v>
      </c>
      <c r="B198" s="598" t="s">
        <v>1014</v>
      </c>
      <c r="C198" s="544" t="s">
        <v>88</v>
      </c>
      <c r="D198" s="531">
        <v>911</v>
      </c>
      <c r="E198" s="526">
        <v>1000</v>
      </c>
      <c r="F198" s="604">
        <f t="shared" si="33"/>
        <v>0.91100000000000003</v>
      </c>
      <c r="G198" s="605">
        <v>88</v>
      </c>
      <c r="H198" s="526">
        <v>10</v>
      </c>
      <c r="I198" s="605">
        <f>G198/H198</f>
        <v>8.8000000000000007</v>
      </c>
      <c r="J198" s="528">
        <v>0.05</v>
      </c>
      <c r="K198" s="526" t="s">
        <v>24</v>
      </c>
      <c r="L198" s="604" t="s">
        <v>27</v>
      </c>
      <c r="M198" s="345"/>
      <c r="N198" s="345"/>
      <c r="O198" s="224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2">
      <c r="A199" s="532">
        <v>2576</v>
      </c>
      <c r="B199" s="598" t="s">
        <v>1014</v>
      </c>
      <c r="C199" s="544" t="s">
        <v>89</v>
      </c>
      <c r="D199" s="531">
        <v>4400</v>
      </c>
      <c r="E199" s="526">
        <v>1000</v>
      </c>
      <c r="F199" s="604">
        <f>D199/E199</f>
        <v>4.4000000000000004</v>
      </c>
      <c r="G199" s="605">
        <v>100</v>
      </c>
      <c r="H199" s="526">
        <v>10</v>
      </c>
      <c r="I199" s="605">
        <f>G199/H199</f>
        <v>10</v>
      </c>
      <c r="J199" s="528">
        <v>0.05</v>
      </c>
      <c r="K199" s="526" t="s">
        <v>24</v>
      </c>
      <c r="L199" s="604" t="s">
        <v>27</v>
      </c>
      <c r="M199" s="345"/>
      <c r="N199" s="345"/>
      <c r="O199" s="224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2">
      <c r="A200" s="532">
        <v>2577</v>
      </c>
      <c r="B200" s="598" t="s">
        <v>1014</v>
      </c>
      <c r="C200" s="544" t="s">
        <v>90</v>
      </c>
      <c r="D200" s="531">
        <v>500</v>
      </c>
      <c r="E200" s="526">
        <v>1000</v>
      </c>
      <c r="F200" s="604">
        <f t="shared" ref="F200" si="37">D200/E200</f>
        <v>0.5</v>
      </c>
      <c r="G200" s="605"/>
      <c r="H200" s="526"/>
      <c r="I200" s="605">
        <f t="shared" ref="I200" si="38">F200</f>
        <v>0.5</v>
      </c>
      <c r="J200" s="528">
        <v>0.05</v>
      </c>
      <c r="K200" s="526" t="s">
        <v>24</v>
      </c>
      <c r="L200" s="604" t="s">
        <v>26</v>
      </c>
      <c r="M200" s="345"/>
      <c r="N200" s="345"/>
      <c r="O200" s="224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2">
      <c r="A201" s="532">
        <v>2578</v>
      </c>
      <c r="B201" s="598" t="s">
        <v>1014</v>
      </c>
      <c r="C201" s="544" t="s">
        <v>91</v>
      </c>
      <c r="D201" s="531">
        <v>3940</v>
      </c>
      <c r="E201" s="526">
        <v>5000</v>
      </c>
      <c r="F201" s="604">
        <f t="shared" si="33"/>
        <v>0.78800000000000003</v>
      </c>
      <c r="G201" s="605"/>
      <c r="H201" s="526"/>
      <c r="I201" s="605">
        <f t="shared" si="36"/>
        <v>0.78800000000000003</v>
      </c>
      <c r="J201" s="528">
        <v>0.05</v>
      </c>
      <c r="K201" s="526" t="s">
        <v>24</v>
      </c>
      <c r="L201" s="604" t="s">
        <v>26</v>
      </c>
      <c r="M201" s="345"/>
      <c r="N201" s="345"/>
      <c r="O201" s="224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2">
      <c r="A202" s="532">
        <v>2579</v>
      </c>
      <c r="B202" s="598" t="s">
        <v>1014</v>
      </c>
      <c r="C202" s="544" t="s">
        <v>92</v>
      </c>
      <c r="D202" s="531">
        <v>1254</v>
      </c>
      <c r="E202" s="526">
        <v>1000</v>
      </c>
      <c r="F202" s="604">
        <f t="shared" si="33"/>
        <v>1.254</v>
      </c>
      <c r="G202" s="605"/>
      <c r="H202" s="526"/>
      <c r="I202" s="605">
        <f t="shared" si="36"/>
        <v>1.254</v>
      </c>
      <c r="J202" s="528">
        <v>0.05</v>
      </c>
      <c r="K202" s="526" t="s">
        <v>24</v>
      </c>
      <c r="L202" s="604" t="s">
        <v>26</v>
      </c>
      <c r="M202" s="345"/>
      <c r="N202" s="345"/>
      <c r="O202" s="224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2">
      <c r="A203" s="532">
        <v>2580</v>
      </c>
      <c r="B203" s="598" t="s">
        <v>1014</v>
      </c>
      <c r="C203" s="544" t="s">
        <v>93</v>
      </c>
      <c r="D203" s="531">
        <v>943</v>
      </c>
      <c r="E203" s="526">
        <v>1000</v>
      </c>
      <c r="F203" s="604">
        <f t="shared" si="33"/>
        <v>0.94299999999999995</v>
      </c>
      <c r="G203" s="605">
        <v>320</v>
      </c>
      <c r="H203" s="526">
        <v>50</v>
      </c>
      <c r="I203" s="605">
        <f>G203/H203</f>
        <v>6.4</v>
      </c>
      <c r="J203" s="528">
        <v>0.5</v>
      </c>
      <c r="K203" s="526" t="s">
        <v>28</v>
      </c>
      <c r="L203" s="604" t="s">
        <v>26</v>
      </c>
      <c r="M203" s="345"/>
      <c r="N203" s="345"/>
      <c r="O203" s="224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2">
      <c r="A204" s="532">
        <v>2581</v>
      </c>
      <c r="B204" s="598" t="s">
        <v>1014</v>
      </c>
      <c r="C204" s="544" t="s">
        <v>94</v>
      </c>
      <c r="D204" s="531">
        <v>32000</v>
      </c>
      <c r="E204" s="526">
        <v>1000</v>
      </c>
      <c r="F204" s="604">
        <f t="shared" si="33"/>
        <v>32</v>
      </c>
      <c r="G204" s="530"/>
      <c r="H204" s="526"/>
      <c r="I204" s="527">
        <f t="shared" ref="I204" si="39">F204</f>
        <v>32</v>
      </c>
      <c r="J204" s="528">
        <v>0.05</v>
      </c>
      <c r="K204" s="526" t="s">
        <v>24</v>
      </c>
      <c r="L204" s="604" t="s">
        <v>27</v>
      </c>
      <c r="M204" s="345"/>
      <c r="N204" s="345"/>
      <c r="O204" s="224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2">
      <c r="A205" s="532">
        <v>2582</v>
      </c>
      <c r="B205" s="598" t="s">
        <v>1014</v>
      </c>
      <c r="C205" s="544" t="s">
        <v>95</v>
      </c>
      <c r="D205" s="531">
        <v>500</v>
      </c>
      <c r="E205" s="526">
        <v>1000</v>
      </c>
      <c r="F205" s="604">
        <f t="shared" si="33"/>
        <v>0.5</v>
      </c>
      <c r="G205" s="605"/>
      <c r="H205" s="526"/>
      <c r="I205" s="605">
        <f>F205</f>
        <v>0.5</v>
      </c>
      <c r="J205" s="528">
        <v>0.05</v>
      </c>
      <c r="K205" s="526" t="s">
        <v>24</v>
      </c>
      <c r="L205" s="604" t="s">
        <v>26</v>
      </c>
      <c r="M205" s="345"/>
      <c r="N205" s="345"/>
      <c r="O205" s="224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2">
      <c r="A206" s="532">
        <v>2583</v>
      </c>
      <c r="B206" s="598" t="s">
        <v>1014</v>
      </c>
      <c r="C206" s="544" t="s">
        <v>96</v>
      </c>
      <c r="D206" s="627">
        <v>762.5</v>
      </c>
      <c r="E206" s="526">
        <v>1000</v>
      </c>
      <c r="F206" s="628">
        <f t="shared" si="33"/>
        <v>0.76249999999999996</v>
      </c>
      <c r="G206" s="605"/>
      <c r="H206" s="526"/>
      <c r="I206" s="629">
        <f>F206</f>
        <v>0.76249999999999996</v>
      </c>
      <c r="J206" s="528">
        <v>0.05</v>
      </c>
      <c r="K206" s="526" t="s">
        <v>24</v>
      </c>
      <c r="L206" s="604" t="s">
        <v>26</v>
      </c>
      <c r="M206" s="345"/>
      <c r="N206" s="345"/>
      <c r="O206" s="224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2">
      <c r="A207" s="532">
        <v>2584</v>
      </c>
      <c r="B207" s="598" t="s">
        <v>1014</v>
      </c>
      <c r="C207" s="544" t="s">
        <v>97</v>
      </c>
      <c r="D207" s="531">
        <v>109</v>
      </c>
      <c r="E207" s="526">
        <v>1000</v>
      </c>
      <c r="F207" s="604">
        <f t="shared" si="33"/>
        <v>0.109</v>
      </c>
      <c r="G207" s="605">
        <v>172.5</v>
      </c>
      <c r="H207" s="526">
        <v>50</v>
      </c>
      <c r="I207" s="605">
        <f>G207/H207</f>
        <v>3.45</v>
      </c>
      <c r="J207" s="528">
        <v>0.05</v>
      </c>
      <c r="K207" s="526" t="s">
        <v>24</v>
      </c>
      <c r="L207" s="604" t="s">
        <v>26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2">
      <c r="A208" s="532">
        <v>2585</v>
      </c>
      <c r="B208" s="598" t="s">
        <v>1014</v>
      </c>
      <c r="C208" s="544" t="s">
        <v>98</v>
      </c>
      <c r="D208" s="531">
        <v>969</v>
      </c>
      <c r="E208" s="526">
        <v>1000</v>
      </c>
      <c r="F208" s="604">
        <f t="shared" si="33"/>
        <v>0.96899999999999997</v>
      </c>
      <c r="G208" s="605">
        <v>0.5</v>
      </c>
      <c r="H208" s="526">
        <v>50</v>
      </c>
      <c r="I208" s="605">
        <f>G208/H208</f>
        <v>0.01</v>
      </c>
      <c r="J208" s="528">
        <v>0.05</v>
      </c>
      <c r="K208" s="526" t="s">
        <v>24</v>
      </c>
      <c r="L208" s="604" t="s">
        <v>26</v>
      </c>
      <c r="M208" s="345"/>
      <c r="N208" s="345"/>
      <c r="O208" s="224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2">
      <c r="A209" s="532">
        <v>2586</v>
      </c>
      <c r="B209" s="598" t="s">
        <v>1014</v>
      </c>
      <c r="C209" s="544" t="s">
        <v>99</v>
      </c>
      <c r="D209" s="531">
        <v>841</v>
      </c>
      <c r="E209" s="526">
        <v>1000</v>
      </c>
      <c r="F209" s="604">
        <f t="shared" si="33"/>
        <v>0.84099999999999997</v>
      </c>
      <c r="G209" s="605"/>
      <c r="H209" s="526"/>
      <c r="I209" s="605">
        <f t="shared" si="36"/>
        <v>0.84099999999999997</v>
      </c>
      <c r="J209" s="528">
        <v>0.05</v>
      </c>
      <c r="K209" s="526" t="s">
        <v>24</v>
      </c>
      <c r="L209" s="604" t="s">
        <v>26</v>
      </c>
      <c r="M209" s="345"/>
      <c r="N209" s="345"/>
      <c r="O209" s="224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">
      <c r="A210" s="613">
        <v>2587</v>
      </c>
      <c r="B210" s="598" t="s">
        <v>1014</v>
      </c>
      <c r="C210" s="544" t="s">
        <v>100</v>
      </c>
      <c r="D210" s="531">
        <v>1000</v>
      </c>
      <c r="E210" s="526">
        <v>5000</v>
      </c>
      <c r="F210" s="604">
        <f t="shared" si="33"/>
        <v>0.2</v>
      </c>
      <c r="G210" s="605"/>
      <c r="H210" s="526"/>
      <c r="I210" s="605">
        <f t="shared" si="36"/>
        <v>0.2</v>
      </c>
      <c r="J210" s="528">
        <v>0.5</v>
      </c>
      <c r="K210" s="526" t="s">
        <v>28</v>
      </c>
      <c r="L210" s="604" t="s">
        <v>26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2">
      <c r="A211" s="613">
        <v>2588</v>
      </c>
      <c r="B211" s="598" t="s">
        <v>1014</v>
      </c>
      <c r="C211" s="544" t="s">
        <v>101</v>
      </c>
      <c r="D211" s="531">
        <v>4400</v>
      </c>
      <c r="E211" s="526">
        <v>1000</v>
      </c>
      <c r="F211" s="604">
        <f t="shared" si="33"/>
        <v>4.4000000000000004</v>
      </c>
      <c r="G211" s="605"/>
      <c r="H211" s="526"/>
      <c r="I211" s="605">
        <f t="shared" si="36"/>
        <v>4.4000000000000004</v>
      </c>
      <c r="J211" s="528">
        <v>0.5</v>
      </c>
      <c r="K211" s="526" t="s">
        <v>28</v>
      </c>
      <c r="L211" s="604" t="s">
        <v>26</v>
      </c>
      <c r="M211" s="345"/>
      <c r="N211" s="345"/>
      <c r="O211" s="224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2">
      <c r="A212" s="613">
        <v>2589</v>
      </c>
      <c r="B212" s="598" t="s">
        <v>1014</v>
      </c>
      <c r="C212" s="544" t="s">
        <v>102</v>
      </c>
      <c r="D212" s="531">
        <v>1.8</v>
      </c>
      <c r="E212" s="526">
        <v>1000</v>
      </c>
      <c r="F212" s="604">
        <f t="shared" si="33"/>
        <v>1.8E-3</v>
      </c>
      <c r="G212" s="605"/>
      <c r="H212" s="526"/>
      <c r="I212" s="605">
        <f t="shared" si="36"/>
        <v>1.8E-3</v>
      </c>
      <c r="J212" s="528">
        <v>0.05</v>
      </c>
      <c r="K212" s="526" t="s">
        <v>24</v>
      </c>
      <c r="L212" s="604" t="s">
        <v>26</v>
      </c>
      <c r="M212" s="345"/>
      <c r="N212" s="345"/>
      <c r="O212" s="224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2">
      <c r="A213" s="613">
        <v>2590</v>
      </c>
      <c r="B213" s="598" t="s">
        <v>1014</v>
      </c>
      <c r="C213" s="544" t="s">
        <v>103</v>
      </c>
      <c r="D213" s="531">
        <v>100</v>
      </c>
      <c r="E213" s="526">
        <v>5000</v>
      </c>
      <c r="F213" s="604">
        <f t="shared" si="33"/>
        <v>0.02</v>
      </c>
      <c r="G213" s="605"/>
      <c r="H213" s="526"/>
      <c r="I213" s="605">
        <f t="shared" si="36"/>
        <v>0.02</v>
      </c>
      <c r="J213" s="528">
        <v>0.5</v>
      </c>
      <c r="K213" s="526" t="s">
        <v>28</v>
      </c>
      <c r="L213" s="604" t="s">
        <v>26</v>
      </c>
      <c r="M213" s="345"/>
      <c r="N213" s="345"/>
      <c r="O213" s="224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2">
      <c r="A214" s="532">
        <v>2591</v>
      </c>
      <c r="B214" s="598" t="s">
        <v>1014</v>
      </c>
      <c r="C214" s="544" t="s">
        <v>104</v>
      </c>
      <c r="D214" s="531">
        <v>10000</v>
      </c>
      <c r="E214" s="526">
        <v>10000</v>
      </c>
      <c r="F214" s="604">
        <f t="shared" si="33"/>
        <v>1</v>
      </c>
      <c r="G214" s="605"/>
      <c r="H214" s="526"/>
      <c r="I214" s="605">
        <f t="shared" si="36"/>
        <v>1</v>
      </c>
      <c r="J214" s="528">
        <v>0.05</v>
      </c>
      <c r="K214" s="526" t="s">
        <v>24</v>
      </c>
      <c r="L214" s="604" t="s">
        <v>26</v>
      </c>
      <c r="M214" s="345"/>
      <c r="N214" s="345"/>
      <c r="O214" s="224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2">
      <c r="A215" s="532">
        <v>2592</v>
      </c>
      <c r="B215" s="598" t="s">
        <v>1014</v>
      </c>
      <c r="C215" s="544" t="s">
        <v>105</v>
      </c>
      <c r="D215" s="531">
        <v>100</v>
      </c>
      <c r="E215" s="526">
        <v>1000</v>
      </c>
      <c r="F215" s="604">
        <f>D215/E215</f>
        <v>0.1</v>
      </c>
      <c r="G215" s="605">
        <v>100</v>
      </c>
      <c r="H215" s="526">
        <v>50</v>
      </c>
      <c r="I215" s="605">
        <f>G215/H215</f>
        <v>2</v>
      </c>
      <c r="J215" s="528">
        <v>0.05</v>
      </c>
      <c r="K215" s="526" t="s">
        <v>24</v>
      </c>
      <c r="L215" s="604" t="s">
        <v>27</v>
      </c>
      <c r="M215" s="345"/>
      <c r="N215" s="345"/>
      <c r="O215" s="224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2">
      <c r="A216" s="532">
        <v>2593</v>
      </c>
      <c r="B216" s="598" t="s">
        <v>1014</v>
      </c>
      <c r="C216" s="544" t="s">
        <v>106</v>
      </c>
      <c r="D216" s="531">
        <v>209</v>
      </c>
      <c r="E216" s="526">
        <v>5000</v>
      </c>
      <c r="F216" s="604">
        <f t="shared" si="33"/>
        <v>4.1799999999999997E-2</v>
      </c>
      <c r="G216" s="605"/>
      <c r="H216" s="526"/>
      <c r="I216" s="605">
        <f t="shared" si="36"/>
        <v>4.1799999999999997E-2</v>
      </c>
      <c r="J216" s="528">
        <v>1</v>
      </c>
      <c r="K216" s="526" t="s">
        <v>35</v>
      </c>
      <c r="L216" s="604" t="s">
        <v>26</v>
      </c>
      <c r="M216" s="345"/>
      <c r="N216" s="345"/>
      <c r="O216" s="224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2">
      <c r="A217" s="532">
        <v>2594</v>
      </c>
      <c r="B217" s="598" t="s">
        <v>1014</v>
      </c>
      <c r="C217" s="544" t="s">
        <v>309</v>
      </c>
      <c r="D217" s="531">
        <v>188</v>
      </c>
      <c r="E217" s="526">
        <v>5000</v>
      </c>
      <c r="F217" s="604">
        <f t="shared" si="33"/>
        <v>3.7600000000000001E-2</v>
      </c>
      <c r="G217" s="605"/>
      <c r="H217" s="526"/>
      <c r="I217" s="605">
        <f t="shared" si="36"/>
        <v>3.7600000000000001E-2</v>
      </c>
      <c r="J217" s="528">
        <v>1</v>
      </c>
      <c r="K217" s="526" t="s">
        <v>35</v>
      </c>
      <c r="L217" s="604" t="s">
        <v>26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2">
      <c r="A218" s="532">
        <v>2595</v>
      </c>
      <c r="B218" s="598" t="s">
        <v>1014</v>
      </c>
      <c r="C218" s="544" t="s">
        <v>107</v>
      </c>
      <c r="D218" s="531">
        <v>600</v>
      </c>
      <c r="E218" s="526">
        <v>1000</v>
      </c>
      <c r="F218" s="604">
        <f>D218/E218</f>
        <v>0.6</v>
      </c>
      <c r="G218" s="605">
        <v>12.5</v>
      </c>
      <c r="H218" s="526">
        <v>50</v>
      </c>
      <c r="I218" s="605">
        <f>G218/H218</f>
        <v>0.25</v>
      </c>
      <c r="J218" s="528">
        <v>0.05</v>
      </c>
      <c r="K218" s="526" t="s">
        <v>24</v>
      </c>
      <c r="L218" s="604" t="s">
        <v>26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2">
      <c r="A219" s="532">
        <v>2596</v>
      </c>
      <c r="B219" s="598" t="s">
        <v>1014</v>
      </c>
      <c r="C219" s="544" t="s">
        <v>108</v>
      </c>
      <c r="D219" s="531">
        <v>490</v>
      </c>
      <c r="E219" s="526">
        <v>1000</v>
      </c>
      <c r="F219" s="604">
        <f t="shared" si="33"/>
        <v>0.49</v>
      </c>
      <c r="G219" s="605"/>
      <c r="H219" s="526"/>
      <c r="I219" s="605">
        <f t="shared" si="36"/>
        <v>0.49</v>
      </c>
      <c r="J219" s="528">
        <v>0.05</v>
      </c>
      <c r="K219" s="526" t="s">
        <v>24</v>
      </c>
      <c r="L219" s="604" t="s">
        <v>26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2">
      <c r="A220" s="532">
        <v>2597</v>
      </c>
      <c r="B220" s="598" t="s">
        <v>1014</v>
      </c>
      <c r="C220" s="544" t="s">
        <v>310</v>
      </c>
      <c r="D220" s="531">
        <v>18</v>
      </c>
      <c r="E220" s="526">
        <v>1000</v>
      </c>
      <c r="F220" s="604">
        <f t="shared" si="33"/>
        <v>1.7999999999999999E-2</v>
      </c>
      <c r="G220" s="605">
        <v>3.3</v>
      </c>
      <c r="H220" s="526">
        <v>100</v>
      </c>
      <c r="I220" s="605">
        <f>G220/H220</f>
        <v>3.3000000000000002E-2</v>
      </c>
      <c r="J220" s="528">
        <v>0.05</v>
      </c>
      <c r="K220" s="526" t="s">
        <v>24</v>
      </c>
      <c r="L220" s="604" t="s">
        <v>26</v>
      </c>
      <c r="M220" s="345"/>
      <c r="N220" s="345"/>
      <c r="O220" s="224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2">
      <c r="A221" s="532">
        <v>2598</v>
      </c>
      <c r="B221" s="598" t="s">
        <v>1014</v>
      </c>
      <c r="C221" s="544" t="s">
        <v>109</v>
      </c>
      <c r="D221" s="531">
        <v>75</v>
      </c>
      <c r="E221" s="526">
        <v>1000</v>
      </c>
      <c r="F221" s="604">
        <f>D221/E221</f>
        <v>7.4999999999999997E-2</v>
      </c>
      <c r="G221" s="605">
        <v>5.6</v>
      </c>
      <c r="H221" s="526">
        <v>50</v>
      </c>
      <c r="I221" s="605">
        <f>G221/H221</f>
        <v>0.11199999999999999</v>
      </c>
      <c r="J221" s="528">
        <v>1</v>
      </c>
      <c r="K221" s="526" t="s">
        <v>35</v>
      </c>
      <c r="L221" s="604" t="s">
        <v>26</v>
      </c>
      <c r="M221" s="345"/>
      <c r="N221" s="345"/>
      <c r="O221" s="224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2">
      <c r="A222" s="613">
        <v>2599</v>
      </c>
      <c r="B222" s="598" t="s">
        <v>1014</v>
      </c>
      <c r="C222" s="544" t="s">
        <v>110</v>
      </c>
      <c r="D222" s="528">
        <v>100</v>
      </c>
      <c r="E222" s="526">
        <v>1000</v>
      </c>
      <c r="F222" s="529">
        <f t="shared" si="33"/>
        <v>0.1</v>
      </c>
      <c r="G222" s="530">
        <v>120</v>
      </c>
      <c r="H222" s="526">
        <v>100</v>
      </c>
      <c r="I222" s="527">
        <f>G222/H222</f>
        <v>1.2</v>
      </c>
      <c r="J222" s="528">
        <v>0.5</v>
      </c>
      <c r="K222" s="526" t="s">
        <v>28</v>
      </c>
      <c r="L222" s="604" t="s">
        <v>26</v>
      </c>
      <c r="M222" s="345"/>
      <c r="N222" s="345"/>
      <c r="O222" s="224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2">
      <c r="A223" s="613">
        <v>2600</v>
      </c>
      <c r="B223" s="598" t="s">
        <v>1014</v>
      </c>
      <c r="C223" s="544" t="s">
        <v>111</v>
      </c>
      <c r="D223" s="528">
        <v>120</v>
      </c>
      <c r="E223" s="526">
        <v>1000</v>
      </c>
      <c r="F223" s="529">
        <f t="shared" si="33"/>
        <v>0.12</v>
      </c>
      <c r="G223" s="530">
        <v>120</v>
      </c>
      <c r="H223" s="526">
        <v>100</v>
      </c>
      <c r="I223" s="527">
        <f>G223/H223</f>
        <v>1.2</v>
      </c>
      <c r="J223" s="528">
        <v>1</v>
      </c>
      <c r="K223" s="526" t="s">
        <v>35</v>
      </c>
      <c r="L223" s="604" t="s">
        <v>26</v>
      </c>
      <c r="M223" s="345"/>
      <c r="N223" s="345"/>
      <c r="O223" s="224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2">
      <c r="A224" s="613">
        <v>2601</v>
      </c>
      <c r="B224" s="598" t="s">
        <v>1014</v>
      </c>
      <c r="C224" s="544" t="s">
        <v>112</v>
      </c>
      <c r="D224" s="528">
        <v>120</v>
      </c>
      <c r="E224" s="526">
        <v>1000</v>
      </c>
      <c r="F224" s="529">
        <f t="shared" si="33"/>
        <v>0.12</v>
      </c>
      <c r="G224" s="530">
        <v>120</v>
      </c>
      <c r="H224" s="526">
        <v>100</v>
      </c>
      <c r="I224" s="527">
        <f>G224/H224</f>
        <v>1.2</v>
      </c>
      <c r="J224" s="528">
        <v>0.5</v>
      </c>
      <c r="K224" s="526" t="s">
        <v>28</v>
      </c>
      <c r="L224" s="604" t="s">
        <v>26</v>
      </c>
      <c r="M224" s="345"/>
      <c r="N224" s="345"/>
      <c r="O224" s="224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2">
      <c r="A225" s="613">
        <v>2602</v>
      </c>
      <c r="B225" s="598" t="s">
        <v>1014</v>
      </c>
      <c r="C225" s="544" t="s">
        <v>113</v>
      </c>
      <c r="D225" s="528">
        <v>38</v>
      </c>
      <c r="E225" s="526">
        <v>1000</v>
      </c>
      <c r="F225" s="529">
        <f t="shared" si="33"/>
        <v>3.7999999999999999E-2</v>
      </c>
      <c r="G225" s="530"/>
      <c r="H225" s="526"/>
      <c r="I225" s="527">
        <f t="shared" ref="I225:I229" si="40">F225</f>
        <v>3.7999999999999999E-2</v>
      </c>
      <c r="J225" s="528">
        <v>1</v>
      </c>
      <c r="K225" s="526" t="s">
        <v>35</v>
      </c>
      <c r="L225" s="604" t="s">
        <v>26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2">
      <c r="A226" s="532">
        <v>2603</v>
      </c>
      <c r="B226" s="598" t="s">
        <v>1014</v>
      </c>
      <c r="C226" s="544" t="s">
        <v>311</v>
      </c>
      <c r="D226" s="528">
        <v>100</v>
      </c>
      <c r="E226" s="526">
        <v>5000</v>
      </c>
      <c r="F226" s="529">
        <f t="shared" si="33"/>
        <v>0.02</v>
      </c>
      <c r="G226" s="530"/>
      <c r="H226" s="526"/>
      <c r="I226" s="527">
        <f t="shared" si="40"/>
        <v>0.02</v>
      </c>
      <c r="J226" s="528">
        <v>1</v>
      </c>
      <c r="K226" s="526" t="s">
        <v>35</v>
      </c>
      <c r="L226" s="604" t="s">
        <v>25</v>
      </c>
      <c r="M226" s="345"/>
      <c r="N226" s="345"/>
      <c r="O226" s="224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2">
      <c r="A227" s="532">
        <v>2604</v>
      </c>
      <c r="B227" s="598" t="s">
        <v>1014</v>
      </c>
      <c r="C227" s="544" t="s">
        <v>114</v>
      </c>
      <c r="D227" s="528">
        <v>13</v>
      </c>
      <c r="E227" s="526">
        <v>5000</v>
      </c>
      <c r="F227" s="529">
        <f>D227/E227</f>
        <v>2.5999999999999999E-3</v>
      </c>
      <c r="G227" s="530"/>
      <c r="H227" s="526"/>
      <c r="I227" s="527">
        <f t="shared" si="40"/>
        <v>2.5999999999999999E-3</v>
      </c>
      <c r="J227" s="528">
        <v>1</v>
      </c>
      <c r="K227" s="526" t="s">
        <v>26</v>
      </c>
      <c r="L227" s="604" t="s">
        <v>26</v>
      </c>
      <c r="M227" s="345"/>
      <c r="N227" s="345"/>
      <c r="O227" s="224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2">
      <c r="A228" s="532">
        <v>2605</v>
      </c>
      <c r="B228" s="598" t="s">
        <v>1014</v>
      </c>
      <c r="C228" s="544" t="s">
        <v>115</v>
      </c>
      <c r="D228" s="531">
        <v>40.700000000000003</v>
      </c>
      <c r="E228" s="526">
        <v>1000</v>
      </c>
      <c r="F228" s="604">
        <f>D228/E228</f>
        <v>4.07E-2</v>
      </c>
      <c r="G228" s="605"/>
      <c r="H228" s="526"/>
      <c r="I228" s="605">
        <f>F228</f>
        <v>4.07E-2</v>
      </c>
      <c r="J228" s="528">
        <v>0.05</v>
      </c>
      <c r="K228" s="526" t="s">
        <v>24</v>
      </c>
      <c r="L228" s="604" t="s">
        <v>26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2">
      <c r="A229" s="532">
        <v>2606</v>
      </c>
      <c r="B229" s="598" t="s">
        <v>1014</v>
      </c>
      <c r="C229" s="544" t="s">
        <v>116</v>
      </c>
      <c r="D229" s="528">
        <v>528</v>
      </c>
      <c r="E229" s="526">
        <v>1000</v>
      </c>
      <c r="F229" s="529">
        <f t="shared" ref="F229:F243" si="41">D229/E229</f>
        <v>0.52800000000000002</v>
      </c>
      <c r="G229" s="605"/>
      <c r="H229" s="526"/>
      <c r="I229" s="605">
        <f t="shared" si="40"/>
        <v>0.52800000000000002</v>
      </c>
      <c r="J229" s="528">
        <v>0.05</v>
      </c>
      <c r="K229" s="526" t="s">
        <v>24</v>
      </c>
      <c r="L229" s="604" t="s">
        <v>25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2">
      <c r="A230" s="532">
        <v>2607</v>
      </c>
      <c r="B230" s="598" t="s">
        <v>1014</v>
      </c>
      <c r="C230" s="606" t="s">
        <v>312</v>
      </c>
      <c r="D230" s="528">
        <v>39</v>
      </c>
      <c r="E230" s="526">
        <v>1000</v>
      </c>
      <c r="F230" s="529">
        <f t="shared" si="41"/>
        <v>3.9E-2</v>
      </c>
      <c r="G230" s="605">
        <v>4.3</v>
      </c>
      <c r="H230" s="526">
        <v>100</v>
      </c>
      <c r="I230" s="605">
        <f>+G230/H230</f>
        <v>4.2999999999999997E-2</v>
      </c>
      <c r="J230" s="528">
        <v>0.5</v>
      </c>
      <c r="K230" s="526" t="s">
        <v>28</v>
      </c>
      <c r="L230" s="604" t="s">
        <v>26</v>
      </c>
      <c r="M230" s="345"/>
      <c r="N230" s="345"/>
      <c r="O230" s="224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2">
      <c r="A231" s="532">
        <v>2608</v>
      </c>
      <c r="B231" s="598" t="s">
        <v>1014</v>
      </c>
      <c r="C231" s="606" t="s">
        <v>313</v>
      </c>
      <c r="D231" s="528">
        <v>100</v>
      </c>
      <c r="E231" s="526">
        <v>1000</v>
      </c>
      <c r="F231" s="529">
        <f t="shared" si="41"/>
        <v>0.1</v>
      </c>
      <c r="G231" s="530">
        <v>100</v>
      </c>
      <c r="H231" s="526">
        <v>10</v>
      </c>
      <c r="I231" s="527">
        <f>+G231/H231</f>
        <v>10</v>
      </c>
      <c r="J231" s="528">
        <v>0.05</v>
      </c>
      <c r="K231" s="526" t="s">
        <v>24</v>
      </c>
      <c r="L231" s="604" t="s">
        <v>27</v>
      </c>
      <c r="M231" s="345"/>
      <c r="N231" s="345"/>
      <c r="O231" s="224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2">
      <c r="A232" s="532">
        <v>2609</v>
      </c>
      <c r="B232" s="598" t="s">
        <v>1014</v>
      </c>
      <c r="C232" s="630" t="s">
        <v>314</v>
      </c>
      <c r="D232" s="528">
        <v>100</v>
      </c>
      <c r="E232" s="526">
        <v>1000</v>
      </c>
      <c r="F232" s="529">
        <f t="shared" si="41"/>
        <v>0.1</v>
      </c>
      <c r="G232" s="530">
        <v>100</v>
      </c>
      <c r="H232" s="526">
        <v>50</v>
      </c>
      <c r="I232" s="527">
        <f t="shared" ref="I232" si="42">G232/H232</f>
        <v>2</v>
      </c>
      <c r="J232" s="528">
        <v>1</v>
      </c>
      <c r="K232" s="526" t="s">
        <v>35</v>
      </c>
      <c r="L232" s="604" t="s">
        <v>26</v>
      </c>
      <c r="M232" s="345"/>
      <c r="N232" s="345"/>
      <c r="O232" s="224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2">
      <c r="A233" s="613">
        <v>2610</v>
      </c>
      <c r="B233" s="598" t="s">
        <v>1014</v>
      </c>
      <c r="C233" s="631" t="s">
        <v>315</v>
      </c>
      <c r="D233" s="528">
        <v>100</v>
      </c>
      <c r="E233" s="526">
        <v>1000</v>
      </c>
      <c r="F233" s="529">
        <f t="shared" si="41"/>
        <v>0.1</v>
      </c>
      <c r="G233" s="530"/>
      <c r="H233" s="526"/>
      <c r="I233" s="527">
        <v>0.1</v>
      </c>
      <c r="J233" s="528">
        <v>0.05</v>
      </c>
      <c r="K233" s="526" t="s">
        <v>24</v>
      </c>
      <c r="L233" s="604" t="s">
        <v>26</v>
      </c>
      <c r="M233" s="345"/>
      <c r="N233" s="345"/>
      <c r="O233" s="224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2">
      <c r="A234" s="613">
        <v>2611</v>
      </c>
      <c r="B234" s="598" t="s">
        <v>1014</v>
      </c>
      <c r="C234" s="532" t="s">
        <v>316</v>
      </c>
      <c r="D234" s="528">
        <v>100</v>
      </c>
      <c r="E234" s="526">
        <v>1000</v>
      </c>
      <c r="F234" s="529">
        <f t="shared" si="41"/>
        <v>0.1</v>
      </c>
      <c r="G234" s="530"/>
      <c r="H234" s="526"/>
      <c r="I234" s="527">
        <v>0.1</v>
      </c>
      <c r="J234" s="528">
        <v>1</v>
      </c>
      <c r="K234" s="526" t="s">
        <v>35</v>
      </c>
      <c r="L234" s="604" t="s">
        <v>26</v>
      </c>
      <c r="M234" s="345"/>
      <c r="N234" s="345"/>
      <c r="O234" s="224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2">
      <c r="A235" s="613">
        <v>2612</v>
      </c>
      <c r="B235" s="598" t="s">
        <v>1014</v>
      </c>
      <c r="C235" s="632" t="s">
        <v>317</v>
      </c>
      <c r="D235" s="528">
        <v>100</v>
      </c>
      <c r="E235" s="526">
        <v>1000</v>
      </c>
      <c r="F235" s="529">
        <f t="shared" si="41"/>
        <v>0.1</v>
      </c>
      <c r="G235" s="530"/>
      <c r="H235" s="526"/>
      <c r="I235" s="527">
        <v>0.1</v>
      </c>
      <c r="J235" s="528">
        <v>1</v>
      </c>
      <c r="K235" s="526" t="s">
        <v>35</v>
      </c>
      <c r="L235" s="604" t="s">
        <v>26</v>
      </c>
      <c r="M235" s="345"/>
      <c r="N235" s="345"/>
      <c r="O235" s="224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2">
      <c r="A236" s="613">
        <v>2613</v>
      </c>
      <c r="B236" s="598" t="s">
        <v>1014</v>
      </c>
      <c r="C236" s="632" t="s">
        <v>318</v>
      </c>
      <c r="D236" s="528">
        <v>100</v>
      </c>
      <c r="E236" s="526">
        <v>1000</v>
      </c>
      <c r="F236" s="529">
        <f t="shared" si="41"/>
        <v>0.1</v>
      </c>
      <c r="G236" s="530"/>
      <c r="H236" s="526"/>
      <c r="I236" s="527">
        <v>0.1</v>
      </c>
      <c r="J236" s="528">
        <v>1</v>
      </c>
      <c r="K236" s="526" t="s">
        <v>35</v>
      </c>
      <c r="L236" s="604" t="s">
        <v>26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2">
      <c r="A237" s="613">
        <v>2614</v>
      </c>
      <c r="B237" s="598" t="s">
        <v>1014</v>
      </c>
      <c r="C237" s="631" t="s">
        <v>319</v>
      </c>
      <c r="D237" s="528">
        <v>100</v>
      </c>
      <c r="E237" s="526">
        <v>1000</v>
      </c>
      <c r="F237" s="529">
        <f t="shared" si="41"/>
        <v>0.1</v>
      </c>
      <c r="G237" s="530"/>
      <c r="H237" s="526"/>
      <c r="I237" s="527">
        <v>0.1</v>
      </c>
      <c r="J237" s="528">
        <v>1</v>
      </c>
      <c r="K237" s="526" t="s">
        <v>35</v>
      </c>
      <c r="L237" s="604" t="s">
        <v>26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2">
      <c r="A238" s="633">
        <v>2615</v>
      </c>
      <c r="B238" s="598" t="s">
        <v>1014</v>
      </c>
      <c r="C238" s="525" t="s">
        <v>320</v>
      </c>
      <c r="D238" s="528">
        <v>0.59</v>
      </c>
      <c r="E238" s="526">
        <v>5000</v>
      </c>
      <c r="F238" s="529">
        <f t="shared" si="41"/>
        <v>1.18E-4</v>
      </c>
      <c r="G238" s="530"/>
      <c r="H238" s="526"/>
      <c r="I238" s="527">
        <f t="shared" ref="I238:I242" si="43">F238</f>
        <v>1.18E-4</v>
      </c>
      <c r="J238" s="531">
        <v>0.05</v>
      </c>
      <c r="K238" s="526" t="s">
        <v>24</v>
      </c>
      <c r="L238" s="604" t="s">
        <v>26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x14ac:dyDescent="0.2">
      <c r="A239" s="633">
        <v>2616</v>
      </c>
      <c r="B239" s="598" t="s">
        <v>1014</v>
      </c>
      <c r="C239" s="525" t="s">
        <v>703</v>
      </c>
      <c r="D239" s="531">
        <v>7.4</v>
      </c>
      <c r="E239" s="526">
        <v>1000</v>
      </c>
      <c r="F239" s="604">
        <f t="shared" si="41"/>
        <v>7.4000000000000003E-3</v>
      </c>
      <c r="G239" s="605"/>
      <c r="H239" s="526"/>
      <c r="I239" s="604">
        <f t="shared" si="43"/>
        <v>7.4000000000000003E-3</v>
      </c>
      <c r="J239" s="531">
        <v>0.05</v>
      </c>
      <c r="K239" s="526" t="s">
        <v>24</v>
      </c>
      <c r="L239" s="604" t="s">
        <v>26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x14ac:dyDescent="0.2">
      <c r="A240" s="633">
        <v>2617</v>
      </c>
      <c r="B240" s="598" t="s">
        <v>1014</v>
      </c>
      <c r="C240" s="525" t="s">
        <v>704</v>
      </c>
      <c r="D240" s="531">
        <v>100</v>
      </c>
      <c r="E240" s="526">
        <v>5000</v>
      </c>
      <c r="F240" s="604">
        <f t="shared" si="41"/>
        <v>0.02</v>
      </c>
      <c r="G240" s="605"/>
      <c r="H240" s="526"/>
      <c r="I240" s="604">
        <f t="shared" si="43"/>
        <v>0.02</v>
      </c>
      <c r="J240" s="531">
        <v>0.05</v>
      </c>
      <c r="K240" s="526" t="s">
        <v>24</v>
      </c>
      <c r="L240" s="604" t="s">
        <v>26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x14ac:dyDescent="0.2">
      <c r="A241" s="633">
        <v>2618</v>
      </c>
      <c r="B241" s="598" t="s">
        <v>1014</v>
      </c>
      <c r="C241" s="525" t="s">
        <v>705</v>
      </c>
      <c r="D241" s="531">
        <v>100</v>
      </c>
      <c r="E241" s="526">
        <v>1000</v>
      </c>
      <c r="F241" s="604">
        <f t="shared" si="41"/>
        <v>0.1</v>
      </c>
      <c r="G241" s="605"/>
      <c r="H241" s="526"/>
      <c r="I241" s="604">
        <f t="shared" si="43"/>
        <v>0.1</v>
      </c>
      <c r="J241" s="531">
        <v>0.05</v>
      </c>
      <c r="K241" s="526" t="s">
        <v>24</v>
      </c>
      <c r="L241" s="604" t="s">
        <v>26</v>
      </c>
      <c r="M241" s="346"/>
      <c r="N241" s="346"/>
      <c r="O241" s="22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x14ac:dyDescent="0.2">
      <c r="A242" s="543">
        <v>2619</v>
      </c>
      <c r="B242" s="598" t="s">
        <v>1014</v>
      </c>
      <c r="C242" s="525" t="s">
        <v>706</v>
      </c>
      <c r="D242" s="531">
        <v>2.2000000000000002</v>
      </c>
      <c r="E242" s="526">
        <v>1000</v>
      </c>
      <c r="F242" s="604">
        <f t="shared" si="41"/>
        <v>2.2000000000000001E-3</v>
      </c>
      <c r="G242" s="605"/>
      <c r="H242" s="526"/>
      <c r="I242" s="604">
        <f t="shared" si="43"/>
        <v>2.2000000000000001E-3</v>
      </c>
      <c r="J242" s="531">
        <v>0.05</v>
      </c>
      <c r="K242" s="526" t="s">
        <v>24</v>
      </c>
      <c r="L242" s="604" t="s">
        <v>27</v>
      </c>
      <c r="M242" s="346"/>
      <c r="N242" s="346"/>
      <c r="O242" s="226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x14ac:dyDescent="0.2">
      <c r="A243" s="634">
        <v>2620</v>
      </c>
      <c r="B243" s="598" t="s">
        <v>1014</v>
      </c>
      <c r="C243" s="635" t="s">
        <v>707</v>
      </c>
      <c r="D243" s="531">
        <v>100</v>
      </c>
      <c r="E243" s="526">
        <v>1000</v>
      </c>
      <c r="F243" s="604">
        <f t="shared" si="41"/>
        <v>0.1</v>
      </c>
      <c r="G243" s="605">
        <v>100</v>
      </c>
      <c r="H243" s="526">
        <v>50</v>
      </c>
      <c r="I243" s="604">
        <f>+G243/H243</f>
        <v>2</v>
      </c>
      <c r="J243" s="531">
        <v>0.05</v>
      </c>
      <c r="K243" s="526" t="s">
        <v>24</v>
      </c>
      <c r="L243" s="604" t="s">
        <v>26</v>
      </c>
      <c r="M243" s="346"/>
      <c r="N243" s="346"/>
      <c r="O243" s="226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" thickBot="1" x14ac:dyDescent="0.25">
      <c r="A244" s="572">
        <v>2621</v>
      </c>
      <c r="B244" s="636" t="s">
        <v>1014</v>
      </c>
      <c r="C244" s="569" t="s">
        <v>691</v>
      </c>
      <c r="D244" s="637">
        <v>100</v>
      </c>
      <c r="E244" s="638">
        <v>1000</v>
      </c>
      <c r="F244" s="639">
        <f>D244/E244</f>
        <v>0.1</v>
      </c>
      <c r="G244" s="640"/>
      <c r="H244" s="641"/>
      <c r="I244" s="642">
        <f>F244</f>
        <v>0.1</v>
      </c>
      <c r="J244" s="643">
        <v>1</v>
      </c>
      <c r="K244" s="638" t="s">
        <v>35</v>
      </c>
      <c r="L244" s="644" t="s">
        <v>25</v>
      </c>
      <c r="M244" s="346"/>
      <c r="N244" s="346"/>
      <c r="O244" s="226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x14ac:dyDescent="0.2">
      <c r="A245" s="224"/>
      <c r="B245" s="645"/>
      <c r="M245" s="346"/>
      <c r="N245" s="346"/>
      <c r="O245" s="226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x14ac:dyDescent="0.2">
      <c r="A246" s="221"/>
      <c r="B246" s="645"/>
      <c r="M246" s="346"/>
      <c r="N246" s="346"/>
      <c r="O246" s="226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x14ac:dyDescent="0.2">
      <c r="A247" s="645" t="s">
        <v>321</v>
      </c>
      <c r="B247" s="645"/>
      <c r="C247" s="646"/>
      <c r="D247" s="647"/>
      <c r="E247" s="647"/>
      <c r="F247" s="647"/>
      <c r="G247" s="647"/>
      <c r="H247" s="647"/>
      <c r="I247" s="647"/>
      <c r="J247" s="647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x14ac:dyDescent="0.2">
      <c r="A248" s="648" t="s">
        <v>118</v>
      </c>
      <c r="B248" s="649"/>
      <c r="C248" s="650" t="s">
        <v>322</v>
      </c>
      <c r="D248" s="647"/>
      <c r="E248" s="647"/>
      <c r="F248" s="647"/>
      <c r="G248" s="647"/>
      <c r="H248" s="647"/>
      <c r="I248" s="647"/>
      <c r="J248" s="647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x14ac:dyDescent="0.2">
      <c r="A249" s="646" t="s">
        <v>119</v>
      </c>
      <c r="B249" s="645"/>
      <c r="C249" s="646" t="s">
        <v>323</v>
      </c>
      <c r="D249" s="647"/>
      <c r="E249" s="647"/>
      <c r="F249" s="647"/>
      <c r="G249" s="647"/>
      <c r="H249" s="647"/>
      <c r="I249" s="647"/>
      <c r="J249" s="647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x14ac:dyDescent="0.2">
      <c r="A250" s="646"/>
      <c r="B250" s="645"/>
      <c r="C250" s="646" t="s">
        <v>324</v>
      </c>
      <c r="D250" s="647"/>
      <c r="E250" s="647"/>
      <c r="F250" s="647"/>
      <c r="G250" s="647"/>
      <c r="H250" s="647"/>
      <c r="I250" s="647"/>
      <c r="J250" s="647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x14ac:dyDescent="0.2">
      <c r="A251" s="648" t="s">
        <v>325</v>
      </c>
      <c r="B251" s="645"/>
      <c r="C251" s="650" t="s">
        <v>326</v>
      </c>
      <c r="D251" s="647"/>
      <c r="E251" s="647"/>
      <c r="F251" s="647"/>
      <c r="G251" s="647"/>
      <c r="H251" s="647"/>
      <c r="I251" s="647"/>
      <c r="J251" s="647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2">
      <c r="A252" s="648" t="s">
        <v>1015</v>
      </c>
      <c r="B252" s="645"/>
      <c r="C252" s="651" t="s">
        <v>1016</v>
      </c>
      <c r="D252" s="647"/>
      <c r="E252" s="647"/>
      <c r="F252" s="647"/>
      <c r="G252" s="647"/>
      <c r="H252" s="647"/>
      <c r="I252" s="647"/>
      <c r="J252" s="647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x14ac:dyDescent="0.2">
      <c r="A253" s="648"/>
      <c r="B253" s="645"/>
      <c r="C253" s="651" t="s">
        <v>1017</v>
      </c>
      <c r="D253" s="647"/>
      <c r="E253" s="647"/>
      <c r="F253" s="647"/>
      <c r="G253" s="647"/>
      <c r="H253" s="647"/>
      <c r="I253" s="647"/>
      <c r="J253" s="647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x14ac:dyDescent="0.2">
      <c r="A254" s="648" t="s">
        <v>327</v>
      </c>
      <c r="B254" s="649"/>
      <c r="C254" s="650" t="s">
        <v>328</v>
      </c>
      <c r="D254" s="647"/>
      <c r="E254" s="647"/>
      <c r="F254" s="647"/>
      <c r="G254" s="647"/>
      <c r="H254" s="647"/>
      <c r="I254" s="647"/>
      <c r="J254" s="647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6" x14ac:dyDescent="0.2">
      <c r="A255" s="652" t="s">
        <v>329</v>
      </c>
      <c r="B255" s="645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x14ac:dyDescent="0.2">
      <c r="A256" s="645" t="s">
        <v>330</v>
      </c>
      <c r="B256" s="645"/>
      <c r="C256" s="646" t="s">
        <v>120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x14ac:dyDescent="0.2">
      <c r="A257" s="645" t="s">
        <v>331</v>
      </c>
      <c r="B257" s="645"/>
      <c r="C257" s="646" t="s">
        <v>121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x14ac:dyDescent="0.2">
      <c r="A258" s="645" t="s">
        <v>332</v>
      </c>
      <c r="B258" s="645"/>
      <c r="C258" s="646" t="s">
        <v>122</v>
      </c>
      <c r="D258" s="653"/>
      <c r="E258" s="653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x14ac:dyDescent="0.2">
      <c r="A259" s="645" t="s">
        <v>333</v>
      </c>
      <c r="B259" s="224"/>
      <c r="C259" s="646" t="s">
        <v>123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x14ac:dyDescent="0.2">
      <c r="A260" s="645" t="s">
        <v>334</v>
      </c>
      <c r="B260" s="224"/>
      <c r="C260" s="646" t="s">
        <v>335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x14ac:dyDescent="0.2">
      <c r="A261" s="649" t="s">
        <v>336</v>
      </c>
      <c r="B261" s="224"/>
      <c r="D261" s="654" t="s">
        <v>130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x14ac:dyDescent="0.2">
      <c r="A262" s="645" t="s">
        <v>337</v>
      </c>
      <c r="B262" s="224"/>
      <c r="C262" s="646" t="s">
        <v>124</v>
      </c>
      <c r="D262" s="655" t="s">
        <v>131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x14ac:dyDescent="0.2">
      <c r="A263" s="645" t="s">
        <v>28</v>
      </c>
      <c r="B263" s="224"/>
      <c r="C263" s="646" t="s">
        <v>338</v>
      </c>
      <c r="D263" s="656" t="s">
        <v>28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x14ac:dyDescent="0.2">
      <c r="A264" s="645" t="s">
        <v>339</v>
      </c>
      <c r="B264" s="224"/>
      <c r="C264" s="646" t="s">
        <v>125</v>
      </c>
      <c r="D264" s="655" t="s">
        <v>132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x14ac:dyDescent="0.2">
      <c r="A265" s="645" t="s">
        <v>340</v>
      </c>
      <c r="B265" s="224"/>
      <c r="C265" s="646" t="s">
        <v>126</v>
      </c>
      <c r="D265" s="655" t="s">
        <v>26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x14ac:dyDescent="0.2">
      <c r="A266" s="645" t="s">
        <v>341</v>
      </c>
      <c r="B266" s="224"/>
      <c r="C266" s="646" t="s">
        <v>127</v>
      </c>
      <c r="D266" s="657" t="s">
        <v>45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x14ac:dyDescent="0.2">
      <c r="A267" s="649" t="s">
        <v>342</v>
      </c>
      <c r="B267" s="224"/>
      <c r="D267" s="657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x14ac:dyDescent="0.2">
      <c r="A268" s="645" t="s">
        <v>343</v>
      </c>
      <c r="B268" s="224"/>
      <c r="C268" s="646" t="s">
        <v>128</v>
      </c>
      <c r="D268" s="657" t="s">
        <v>133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x14ac:dyDescent="0.2">
      <c r="A269" s="645" t="s">
        <v>344</v>
      </c>
      <c r="B269" s="224"/>
      <c r="C269" s="646" t="s">
        <v>129</v>
      </c>
      <c r="D269" s="657" t="s">
        <v>25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x14ac:dyDescent="0.2">
      <c r="A270" s="645" t="s">
        <v>340</v>
      </c>
      <c r="B270" s="224"/>
      <c r="C270" s="646" t="s">
        <v>126</v>
      </c>
      <c r="D270" s="657" t="s">
        <v>26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x14ac:dyDescent="0.2">
      <c r="A271" s="645" t="s">
        <v>341</v>
      </c>
      <c r="B271" s="224"/>
      <c r="C271" s="646" t="s">
        <v>127</v>
      </c>
      <c r="D271" s="657" t="s">
        <v>45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x14ac:dyDescent="0.2">
      <c r="A272" s="224"/>
      <c r="B272" s="224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x14ac:dyDescent="0.2">
      <c r="A273" s="224"/>
      <c r="B273" s="224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409.5" customHeight="1" x14ac:dyDescent="0.2">
      <c r="A274" s="224"/>
      <c r="B274" s="224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409.5" customHeight="1" x14ac:dyDescent="0.2">
      <c r="A275" s="224"/>
      <c r="B275" s="224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409.5" customHeight="1" x14ac:dyDescent="0.2">
      <c r="A276" s="224"/>
      <c r="B276" s="224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409.5" customHeight="1" x14ac:dyDescent="0.2">
      <c r="A277" s="224"/>
      <c r="B277" s="224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409.5" customHeight="1" x14ac:dyDescent="0.2">
      <c r="A278" s="224"/>
      <c r="B278" s="224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409.5" customHeight="1" x14ac:dyDescent="0.2">
      <c r="A279" s="224"/>
      <c r="B279" s="224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409.5" customHeight="1" x14ac:dyDescent="0.2">
      <c r="A280" s="224"/>
      <c r="B280" s="224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409.5" customHeight="1" x14ac:dyDescent="0.2">
      <c r="A281" s="224"/>
      <c r="B281" s="224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409.5" customHeight="1" x14ac:dyDescent="0.2">
      <c r="A282" s="224"/>
      <c r="B282" s="224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409.5" customHeight="1" x14ac:dyDescent="0.2">
      <c r="A283" s="224"/>
      <c r="B283" s="224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409.5" customHeight="1" x14ac:dyDescent="0.2">
      <c r="A284" s="224"/>
      <c r="B284" s="224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409.5" customHeight="1" x14ac:dyDescent="0.2">
      <c r="A285" s="224"/>
      <c r="B285" s="224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409.5" customHeight="1" x14ac:dyDescent="0.2">
      <c r="A286" s="224"/>
      <c r="B286" s="224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409.5" customHeight="1" x14ac:dyDescent="0.2">
      <c r="A287" s="224"/>
      <c r="B287" s="224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409.5" customHeight="1" x14ac:dyDescent="0.2">
      <c r="A288" s="224"/>
      <c r="B288" s="224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409.5" customHeight="1" x14ac:dyDescent="0.2">
      <c r="A289" s="224"/>
      <c r="B289" s="224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409.5" customHeight="1" x14ac:dyDescent="0.2">
      <c r="A290" s="224"/>
      <c r="B290" s="224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409.5" customHeight="1" x14ac:dyDescent="0.2">
      <c r="A291" s="224"/>
      <c r="B291" s="224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409.5" customHeight="1" x14ac:dyDescent="0.2">
      <c r="A292" s="224"/>
      <c r="B292" s="224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409.5" customHeight="1" x14ac:dyDescent="0.2">
      <c r="A293" s="224"/>
      <c r="B293" s="224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409.5" customHeight="1" x14ac:dyDescent="0.2">
      <c r="A294" s="224"/>
      <c r="B294" s="224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409.5" customHeight="1" x14ac:dyDescent="0.2">
      <c r="A295" s="224"/>
      <c r="B295" s="224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409.5" customHeight="1" x14ac:dyDescent="0.2">
      <c r="A296" s="224"/>
      <c r="B296" s="224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409.5" customHeight="1" x14ac:dyDescent="0.2">
      <c r="A297" s="224"/>
      <c r="B297" s="224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409.5" customHeight="1" x14ac:dyDescent="0.2">
      <c r="A298" s="224"/>
      <c r="B298" s="224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409.5" customHeight="1" x14ac:dyDescent="0.2">
      <c r="A299" s="224"/>
      <c r="B299" s="224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409.5" customHeight="1" x14ac:dyDescent="0.2">
      <c r="A300" s="224"/>
      <c r="B300" s="224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409.5" customHeight="1" x14ac:dyDescent="0.2">
      <c r="A301" s="224"/>
      <c r="B301" s="224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09.5" customHeight="1" x14ac:dyDescent="0.2">
      <c r="A302" s="224"/>
      <c r="B302" s="224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409.5" customHeight="1" x14ac:dyDescent="0.2">
      <c r="A303" s="224"/>
      <c r="B303" s="224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409.5" customHeight="1" x14ac:dyDescent="0.2">
      <c r="A304" s="224"/>
      <c r="B304" s="224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409.5" customHeight="1" x14ac:dyDescent="0.2">
      <c r="A305" s="224"/>
      <c r="B305" s="224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409.5" customHeight="1" x14ac:dyDescent="0.2">
      <c r="A306" s="224"/>
      <c r="B306" s="224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409.5" customHeight="1" x14ac:dyDescent="0.2">
      <c r="A307" s="224"/>
      <c r="B307" s="224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409.5" customHeight="1" x14ac:dyDescent="0.2">
      <c r="A308" s="224"/>
      <c r="B308" s="224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409.5" customHeight="1" x14ac:dyDescent="0.2">
      <c r="A309" s="224"/>
      <c r="B309" s="224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409.5" customHeight="1" x14ac:dyDescent="0.2">
      <c r="A310" s="224"/>
      <c r="B310" s="224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409.5" customHeight="1" x14ac:dyDescent="0.2">
      <c r="A311" s="224"/>
      <c r="B311" s="224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409.5" customHeight="1" x14ac:dyDescent="0.2">
      <c r="A312" s="224"/>
      <c r="B312" s="224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409.5" customHeight="1" x14ac:dyDescent="0.2">
      <c r="A313" s="224"/>
      <c r="B313" s="224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409.5" customHeight="1" x14ac:dyDescent="0.2">
      <c r="A314" s="224"/>
      <c r="B314" s="224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409.5" customHeight="1" x14ac:dyDescent="0.2">
      <c r="A315" s="224"/>
      <c r="B315" s="224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409.5" customHeight="1" x14ac:dyDescent="0.2">
      <c r="A316" s="224"/>
      <c r="B316" s="224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409.5" customHeight="1" x14ac:dyDescent="0.2">
      <c r="A317" s="224"/>
      <c r="B317" s="224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409.5" customHeight="1" x14ac:dyDescent="0.2">
      <c r="A318" s="224"/>
      <c r="B318" s="224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409.5" customHeight="1" x14ac:dyDescent="0.2">
      <c r="A319" s="224"/>
      <c r="B319" s="224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409.5" customHeight="1" x14ac:dyDescent="0.2">
      <c r="A320" s="224"/>
      <c r="B320" s="224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409.5" customHeight="1" x14ac:dyDescent="0.2">
      <c r="A321" s="224"/>
      <c r="B321" s="224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409.5" customHeight="1" x14ac:dyDescent="0.2">
      <c r="A322" s="224"/>
      <c r="B322" s="224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409.5" customHeight="1" x14ac:dyDescent="0.2">
      <c r="A323" s="224"/>
      <c r="B323" s="224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409.5" customHeight="1" x14ac:dyDescent="0.2">
      <c r="A324" s="224"/>
      <c r="B324" s="224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409.5" customHeight="1" x14ac:dyDescent="0.2">
      <c r="A325" s="224"/>
      <c r="B325" s="224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409.5" customHeight="1" x14ac:dyDescent="0.2">
      <c r="A326" s="224"/>
      <c r="B326" s="224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409.5" customHeight="1" x14ac:dyDescent="0.2">
      <c r="A327" s="224"/>
      <c r="B327" s="224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409.5" customHeight="1" x14ac:dyDescent="0.2">
      <c r="A328" s="224"/>
      <c r="B328" s="224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409.5" customHeight="1" x14ac:dyDescent="0.2">
      <c r="A329" s="224"/>
      <c r="B329" s="224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409.5" customHeight="1" x14ac:dyDescent="0.2">
      <c r="A330" s="224"/>
      <c r="B330" s="224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409.5" customHeight="1" x14ac:dyDescent="0.2">
      <c r="A331" s="224"/>
      <c r="B331" s="224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409.5" customHeight="1" x14ac:dyDescent="0.2">
      <c r="A332" s="224"/>
      <c r="B332" s="224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409.5" customHeight="1" x14ac:dyDescent="0.2">
      <c r="A333" s="224"/>
      <c r="B333" s="224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409.5" customHeight="1" x14ac:dyDescent="0.2">
      <c r="A334" s="224"/>
      <c r="B334" s="22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409.5" customHeight="1" x14ac:dyDescent="0.2">
      <c r="A335" s="224"/>
      <c r="B335" s="22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409.5" customHeight="1" x14ac:dyDescent="0.2">
      <c r="A336" s="224"/>
      <c r="B336" s="224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409.5" customHeight="1" x14ac:dyDescent="0.2">
      <c r="A337" s="224"/>
      <c r="B337" s="224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409.5" customHeight="1" x14ac:dyDescent="0.2">
      <c r="A338" s="224"/>
      <c r="B338" s="22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409.5" customHeight="1" x14ac:dyDescent="0.2">
      <c r="A339" s="224"/>
      <c r="B339" s="224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409.5" customHeight="1" x14ac:dyDescent="0.2">
      <c r="A340" s="224"/>
      <c r="B340" s="224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409.5" customHeight="1" x14ac:dyDescent="0.2">
      <c r="A341" s="224"/>
      <c r="B341" s="224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409.5" customHeight="1" x14ac:dyDescent="0.2">
      <c r="A342" s="224"/>
      <c r="B342" s="22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409.5" customHeight="1" x14ac:dyDescent="0.2">
      <c r="A343" s="224"/>
      <c r="B343" s="22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409.5" customHeight="1" x14ac:dyDescent="0.2">
      <c r="A344" s="224"/>
      <c r="B344" s="22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409.5" customHeight="1" x14ac:dyDescent="0.2">
      <c r="A345" s="224"/>
      <c r="B345" s="224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409.5" customHeight="1" x14ac:dyDescent="0.2">
      <c r="A346" s="224"/>
      <c r="B346" s="224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409.5" customHeight="1" x14ac:dyDescent="0.2">
      <c r="A347" s="224"/>
      <c r="B347" s="224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409.5" customHeight="1" x14ac:dyDescent="0.2">
      <c r="A348" s="224"/>
      <c r="B348" s="224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409.5" customHeight="1" x14ac:dyDescent="0.2">
      <c r="A349" s="224"/>
      <c r="B349" s="224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409.5" customHeight="1" x14ac:dyDescent="0.2">
      <c r="A350" s="224"/>
      <c r="B350" s="22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409.5" customHeight="1" x14ac:dyDescent="0.2">
      <c r="A351" s="224"/>
      <c r="B351" s="224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409.5" customHeight="1" x14ac:dyDescent="0.2">
      <c r="A352" s="224"/>
      <c r="B352" s="224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409.5" customHeight="1" x14ac:dyDescent="0.2">
      <c r="A353" s="224"/>
      <c r="B353" s="224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409.5" customHeight="1" x14ac:dyDescent="0.2">
      <c r="A354" s="224"/>
      <c r="B354" s="22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409.5" customHeight="1" x14ac:dyDescent="0.2">
      <c r="A355" s="224"/>
      <c r="B355" s="22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409.5" customHeight="1" x14ac:dyDescent="0.2">
      <c r="A356" s="224"/>
      <c r="B356" s="22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409.5" customHeight="1" x14ac:dyDescent="0.2">
      <c r="A357" s="224"/>
      <c r="B357" s="224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409.5" customHeight="1" x14ac:dyDescent="0.2">
      <c r="A358" s="224"/>
      <c r="B358" s="22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409.5" customHeight="1" x14ac:dyDescent="0.2">
      <c r="A359" s="224"/>
      <c r="B359" s="22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409.5" customHeight="1" x14ac:dyDescent="0.2">
      <c r="A360" s="224"/>
      <c r="B360" s="22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409.5" customHeight="1" x14ac:dyDescent="0.2">
      <c r="A361" s="224"/>
      <c r="B361" s="224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409.5" customHeight="1" x14ac:dyDescent="0.2">
      <c r="A362" s="224"/>
      <c r="B362" s="224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409.5" customHeight="1" x14ac:dyDescent="0.2">
      <c r="A363" s="224"/>
      <c r="B363" s="224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409.5" customHeight="1" x14ac:dyDescent="0.2">
      <c r="A364" s="224"/>
      <c r="B364" s="224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409.5" customHeight="1" x14ac:dyDescent="0.2">
      <c r="A365" s="224"/>
      <c r="B365" s="224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409.5" customHeight="1" x14ac:dyDescent="0.2">
      <c r="A366" s="224"/>
      <c r="B366" s="224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409.5" customHeight="1" x14ac:dyDescent="0.2">
      <c r="A367" s="224"/>
      <c r="B367" s="224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409.5" customHeight="1" x14ac:dyDescent="0.2">
      <c r="A368" s="224"/>
      <c r="B368" s="224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409.5" customHeight="1" x14ac:dyDescent="0.2">
      <c r="A369" s="224"/>
      <c r="B369" s="224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409.5" customHeight="1" x14ac:dyDescent="0.2">
      <c r="A370" s="224"/>
      <c r="B370" s="224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09.5" customHeight="1" x14ac:dyDescent="0.2">
      <c r="A371" s="224"/>
      <c r="B371" s="224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409.5" customHeight="1" x14ac:dyDescent="0.2">
      <c r="A372" s="224"/>
      <c r="B372" s="224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409.5" customHeight="1" x14ac:dyDescent="0.2">
      <c r="A373" s="224"/>
      <c r="B373" s="224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x14ac:dyDescent="0.2">
      <c r="A374" s="224"/>
      <c r="B374" s="224"/>
    </row>
    <row r="375" spans="1:26" x14ac:dyDescent="0.2">
      <c r="A375" s="224"/>
      <c r="B375" s="224"/>
    </row>
    <row r="376" spans="1:26" x14ac:dyDescent="0.2">
      <c r="A376" s="224"/>
      <c r="B376" s="224"/>
    </row>
    <row r="377" spans="1:26" x14ac:dyDescent="0.2">
      <c r="A377" s="224"/>
      <c r="B377" s="224"/>
    </row>
    <row r="378" spans="1:26" x14ac:dyDescent="0.2">
      <c r="A378" s="224"/>
      <c r="B378" s="224"/>
    </row>
    <row r="379" spans="1:26" x14ac:dyDescent="0.2">
      <c r="A379" s="224"/>
      <c r="B379" s="224"/>
    </row>
    <row r="380" spans="1:26" x14ac:dyDescent="0.2">
      <c r="A380" s="224"/>
      <c r="B380" s="224"/>
    </row>
    <row r="381" spans="1:26" x14ac:dyDescent="0.2">
      <c r="A381" s="224"/>
      <c r="B381" s="224"/>
    </row>
    <row r="382" spans="1:26" x14ac:dyDescent="0.2">
      <c r="A382" s="224"/>
      <c r="B382" s="224"/>
    </row>
    <row r="383" spans="1:26" x14ac:dyDescent="0.2">
      <c r="A383" s="224"/>
      <c r="B383" s="224"/>
    </row>
    <row r="384" spans="1:26" x14ac:dyDescent="0.2">
      <c r="A384" s="224"/>
      <c r="B384" s="224"/>
    </row>
    <row r="385" spans="1:2" x14ac:dyDescent="0.2">
      <c r="A385" s="224"/>
      <c r="B385" s="224"/>
    </row>
    <row r="386" spans="1:2" x14ac:dyDescent="0.2">
      <c r="A386" s="224"/>
      <c r="B386" s="224"/>
    </row>
    <row r="387" spans="1:2" x14ac:dyDescent="0.2">
      <c r="A387" s="224"/>
      <c r="B387" s="224"/>
    </row>
    <row r="388" spans="1:2" x14ac:dyDescent="0.2">
      <c r="A388" s="224"/>
      <c r="B388" s="224"/>
    </row>
    <row r="389" spans="1:2" x14ac:dyDescent="0.2">
      <c r="A389" s="224"/>
      <c r="B389" s="224"/>
    </row>
    <row r="390" spans="1:2" x14ac:dyDescent="0.2">
      <c r="A390" s="224"/>
      <c r="B390" s="224"/>
    </row>
    <row r="391" spans="1:2" x14ac:dyDescent="0.2">
      <c r="A391" s="224"/>
      <c r="B391" s="224"/>
    </row>
    <row r="392" spans="1:2" x14ac:dyDescent="0.2">
      <c r="A392" s="224"/>
      <c r="B392" s="224"/>
    </row>
    <row r="393" spans="1:2" x14ac:dyDescent="0.2">
      <c r="A393" s="224"/>
      <c r="B393" s="224"/>
    </row>
    <row r="394" spans="1:2" x14ac:dyDescent="0.2">
      <c r="A394" s="224"/>
      <c r="B394" s="224"/>
    </row>
    <row r="395" spans="1:2" x14ac:dyDescent="0.2">
      <c r="A395" s="224"/>
      <c r="B395" s="224"/>
    </row>
    <row r="396" spans="1:2" x14ac:dyDescent="0.2">
      <c r="A396" s="224"/>
      <c r="B396" s="224"/>
    </row>
    <row r="397" spans="1:2" x14ac:dyDescent="0.2">
      <c r="A397" s="224"/>
      <c r="B397" s="224"/>
    </row>
    <row r="398" spans="1:2" x14ac:dyDescent="0.2">
      <c r="A398" s="224"/>
      <c r="B398" s="224"/>
    </row>
    <row r="399" spans="1:2" x14ac:dyDescent="0.2">
      <c r="A399" s="224"/>
      <c r="B399" s="224"/>
    </row>
    <row r="400" spans="1:2" x14ac:dyDescent="0.2">
      <c r="A400" s="224"/>
      <c r="B400" s="224"/>
    </row>
    <row r="401" spans="1:2" x14ac:dyDescent="0.2">
      <c r="A401" s="224"/>
      <c r="B401" s="224"/>
    </row>
    <row r="402" spans="1:2" x14ac:dyDescent="0.2">
      <c r="A402" s="224"/>
      <c r="B402" s="224"/>
    </row>
    <row r="403" spans="1:2" x14ac:dyDescent="0.2">
      <c r="A403" s="224"/>
      <c r="B403" s="224"/>
    </row>
    <row r="404" spans="1:2" x14ac:dyDescent="0.2">
      <c r="A404" s="224"/>
      <c r="B404" s="224"/>
    </row>
    <row r="405" spans="1:2" x14ac:dyDescent="0.2">
      <c r="A405" s="224"/>
      <c r="B405" s="224"/>
    </row>
    <row r="406" spans="1:2" x14ac:dyDescent="0.2">
      <c r="A406" s="224"/>
      <c r="B406" s="224"/>
    </row>
    <row r="407" spans="1:2" x14ac:dyDescent="0.2">
      <c r="A407" s="224"/>
      <c r="B407" s="224"/>
    </row>
    <row r="408" spans="1:2" x14ac:dyDescent="0.2">
      <c r="A408" s="224"/>
      <c r="B408" s="224"/>
    </row>
    <row r="409" spans="1:2" x14ac:dyDescent="0.2">
      <c r="A409" s="224"/>
      <c r="B409" s="224"/>
    </row>
    <row r="410" spans="1:2" x14ac:dyDescent="0.2">
      <c r="A410" s="224"/>
      <c r="B410" s="224"/>
    </row>
    <row r="411" spans="1:2" x14ac:dyDescent="0.2">
      <c r="A411" s="224"/>
      <c r="B411" s="224"/>
    </row>
    <row r="412" spans="1:2" x14ac:dyDescent="0.2">
      <c r="A412" s="224"/>
      <c r="B412" s="224"/>
    </row>
    <row r="413" spans="1:2" x14ac:dyDescent="0.2">
      <c r="A413" s="224"/>
      <c r="B413" s="224"/>
    </row>
    <row r="414" spans="1:2" x14ac:dyDescent="0.2">
      <c r="A414" s="224"/>
      <c r="B414" s="224"/>
    </row>
    <row r="415" spans="1:2" x14ac:dyDescent="0.2">
      <c r="A415" s="224"/>
      <c r="B415" s="224"/>
    </row>
    <row r="416" spans="1:2" x14ac:dyDescent="0.2">
      <c r="A416" s="224"/>
      <c r="B416" s="224"/>
    </row>
    <row r="417" spans="1:2" x14ac:dyDescent="0.2">
      <c r="A417" s="224"/>
      <c r="B417" s="224"/>
    </row>
    <row r="418" spans="1:2" x14ac:dyDescent="0.2">
      <c r="A418" s="224"/>
      <c r="B418" s="224"/>
    </row>
    <row r="419" spans="1:2" x14ac:dyDescent="0.2">
      <c r="A419" s="224"/>
      <c r="B419" s="224"/>
    </row>
    <row r="420" spans="1:2" x14ac:dyDescent="0.2">
      <c r="A420" s="224"/>
      <c r="B420" s="224"/>
    </row>
    <row r="421" spans="1:2" x14ac:dyDescent="0.2">
      <c r="A421" s="224"/>
      <c r="B421" s="224"/>
    </row>
    <row r="422" spans="1:2" x14ac:dyDescent="0.2">
      <c r="A422" s="224"/>
      <c r="B422" s="224"/>
    </row>
    <row r="423" spans="1:2" x14ac:dyDescent="0.2">
      <c r="A423" s="224"/>
      <c r="B423" s="224"/>
    </row>
    <row r="424" spans="1:2" x14ac:dyDescent="0.2">
      <c r="A424" s="224"/>
      <c r="B424" s="224"/>
    </row>
    <row r="425" spans="1:2" x14ac:dyDescent="0.2">
      <c r="A425" s="224"/>
      <c r="B425" s="224"/>
    </row>
    <row r="426" spans="1:2" x14ac:dyDescent="0.2">
      <c r="A426" s="224"/>
      <c r="B426" s="224"/>
    </row>
    <row r="427" spans="1:2" x14ac:dyDescent="0.2">
      <c r="A427" s="224"/>
      <c r="B427" s="224"/>
    </row>
    <row r="428" spans="1:2" x14ac:dyDescent="0.2">
      <c r="A428" s="224"/>
      <c r="B428" s="224"/>
    </row>
    <row r="429" spans="1:2" x14ac:dyDescent="0.2">
      <c r="A429" s="224"/>
      <c r="B429" s="224"/>
    </row>
    <row r="430" spans="1:2" x14ac:dyDescent="0.2">
      <c r="A430" s="224"/>
      <c r="B430" s="224"/>
    </row>
    <row r="431" spans="1:2" x14ac:dyDescent="0.2">
      <c r="A431" s="224"/>
      <c r="B431" s="224"/>
    </row>
    <row r="432" spans="1:2" x14ac:dyDescent="0.2">
      <c r="A432" s="224"/>
      <c r="B432" s="224"/>
    </row>
    <row r="433" spans="1:2" x14ac:dyDescent="0.2">
      <c r="A433" s="224"/>
      <c r="B433" s="224"/>
    </row>
    <row r="434" spans="1:2" x14ac:dyDescent="0.2">
      <c r="A434" s="224"/>
      <c r="B434" s="224"/>
    </row>
    <row r="435" spans="1:2" x14ac:dyDescent="0.2">
      <c r="A435" s="224"/>
      <c r="B435" s="224"/>
    </row>
    <row r="436" spans="1:2" x14ac:dyDescent="0.2">
      <c r="A436" s="224"/>
      <c r="B436" s="224"/>
    </row>
    <row r="437" spans="1:2" x14ac:dyDescent="0.2">
      <c r="A437" s="224"/>
      <c r="B437" s="224"/>
    </row>
    <row r="438" spans="1:2" x14ac:dyDescent="0.2">
      <c r="A438" s="224"/>
      <c r="B438" s="224"/>
    </row>
    <row r="439" spans="1:2" x14ac:dyDescent="0.2">
      <c r="A439" s="224"/>
      <c r="B439" s="224"/>
    </row>
    <row r="440" spans="1:2" x14ac:dyDescent="0.2">
      <c r="A440" s="224"/>
      <c r="B440" s="224"/>
    </row>
    <row r="441" spans="1:2" x14ac:dyDescent="0.2">
      <c r="A441" s="224"/>
      <c r="B441" s="224"/>
    </row>
    <row r="442" spans="1:2" x14ac:dyDescent="0.2">
      <c r="A442" s="224"/>
      <c r="B442" s="224"/>
    </row>
    <row r="443" spans="1:2" x14ac:dyDescent="0.2">
      <c r="A443" s="224"/>
      <c r="B443" s="224"/>
    </row>
    <row r="444" spans="1:2" x14ac:dyDescent="0.2">
      <c r="A444" s="224"/>
      <c r="B444" s="224"/>
    </row>
    <row r="445" spans="1:2" x14ac:dyDescent="0.2">
      <c r="A445" s="224"/>
      <c r="B445" s="224"/>
    </row>
    <row r="446" spans="1:2" x14ac:dyDescent="0.2">
      <c r="A446" s="224"/>
      <c r="B446" s="224"/>
    </row>
    <row r="447" spans="1:2" x14ac:dyDescent="0.2">
      <c r="A447" s="224"/>
      <c r="B447" s="224"/>
    </row>
    <row r="448" spans="1:2" x14ac:dyDescent="0.2">
      <c r="A448" s="224"/>
      <c r="B448" s="224"/>
    </row>
    <row r="449" spans="1:1" x14ac:dyDescent="0.2">
      <c r="A449" s="224"/>
    </row>
    <row r="450" spans="1:1" x14ac:dyDescent="0.2">
      <c r="A450" s="224"/>
    </row>
    <row r="451" spans="1:1" x14ac:dyDescent="0.2">
      <c r="A451" s="224"/>
    </row>
    <row r="452" spans="1:1" x14ac:dyDescent="0.2">
      <c r="A452" s="224"/>
    </row>
    <row r="453" spans="1:1" x14ac:dyDescent="0.2">
      <c r="A453" s="224"/>
    </row>
    <row r="454" spans="1:1" x14ac:dyDescent="0.2">
      <c r="A454" s="224"/>
    </row>
    <row r="455" spans="1:1" x14ac:dyDescent="0.2">
      <c r="A455" s="224"/>
    </row>
    <row r="456" spans="1:1" x14ac:dyDescent="0.2">
      <c r="A456" s="224"/>
    </row>
    <row r="457" spans="1:1" x14ac:dyDescent="0.2">
      <c r="A457" s="224"/>
    </row>
    <row r="458" spans="1:1" x14ac:dyDescent="0.2">
      <c r="A458" s="224"/>
    </row>
    <row r="459" spans="1:1" x14ac:dyDescent="0.2">
      <c r="A459" s="224"/>
    </row>
    <row r="460" spans="1:1" x14ac:dyDescent="0.2">
      <c r="A460" s="224"/>
    </row>
    <row r="461" spans="1:1" x14ac:dyDescent="0.2">
      <c r="A461" s="224"/>
    </row>
  </sheetData>
  <sheetProtection password="CC13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4" r:id="rId1" display="N-(3-Aminopropyl)-N-dodecylpropane-1,3-diamine" xr:uid="{00000000-0004-0000-0B00-000000000000}"/>
    <hyperlink ref="C152" r:id="rId2" display="H2O2" xr:uid="{00000000-0004-0000-0B00-000001000000}"/>
  </hyperlinks>
  <pageMargins left="0.78740157499999996" right="0.78740157499999996" top="0.984251969" bottom="0.984251969" header="0.4921259845" footer="0.4921259845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9"/>
  <sheetViews>
    <sheetView workbookViewId="0">
      <selection activeCell="A5" sqref="A5:XFD5"/>
    </sheetView>
  </sheetViews>
  <sheetFormatPr baseColWidth="10" defaultColWidth="11.5" defaultRowHeight="13" x14ac:dyDescent="0.15"/>
  <cols>
    <col min="1" max="1" width="16.33203125" customWidth="1"/>
    <col min="2" max="2" width="22.33203125" customWidth="1"/>
    <col min="3" max="3" width="10" customWidth="1"/>
    <col min="4" max="4" width="179.6640625" customWidth="1"/>
    <col min="5" max="16384" width="11.5" style="162"/>
  </cols>
  <sheetData>
    <row r="1" spans="1:4" x14ac:dyDescent="0.15">
      <c r="A1" s="291" t="s">
        <v>508</v>
      </c>
      <c r="B1" s="291" t="s">
        <v>860</v>
      </c>
      <c r="C1" s="291" t="s">
        <v>509</v>
      </c>
      <c r="D1" s="291" t="s">
        <v>510</v>
      </c>
    </row>
    <row r="2" spans="1:4" x14ac:dyDescent="0.15">
      <c r="A2" s="119" t="s">
        <v>861</v>
      </c>
      <c r="B2" s="292" t="s">
        <v>997</v>
      </c>
      <c r="C2" s="293" t="s">
        <v>998</v>
      </c>
      <c r="D2" s="119" t="s">
        <v>999</v>
      </c>
    </row>
    <row r="3" spans="1:4" x14ac:dyDescent="0.15">
      <c r="A3" s="119" t="s">
        <v>1002</v>
      </c>
      <c r="B3" s="292" t="s">
        <v>1003</v>
      </c>
      <c r="C3" s="292" t="s">
        <v>1004</v>
      </c>
      <c r="D3" s="119" t="s">
        <v>1005</v>
      </c>
    </row>
    <row r="4" spans="1:4" x14ac:dyDescent="0.15">
      <c r="A4" s="119" t="s">
        <v>1018</v>
      </c>
      <c r="B4" s="292" t="s">
        <v>1019</v>
      </c>
      <c r="C4" s="292">
        <v>43061</v>
      </c>
      <c r="D4" s="119" t="s">
        <v>1020</v>
      </c>
    </row>
    <row r="5" spans="1:4" x14ac:dyDescent="0.15">
      <c r="A5" s="119" t="s">
        <v>1021</v>
      </c>
      <c r="B5" s="292" t="s">
        <v>1022</v>
      </c>
      <c r="C5" s="658">
        <v>43891</v>
      </c>
      <c r="D5" s="119" t="s">
        <v>1023</v>
      </c>
    </row>
    <row r="6" spans="1:4" x14ac:dyDescent="0.15">
      <c r="D6" s="119"/>
    </row>
    <row r="9" spans="1:4" x14ac:dyDescent="0.15">
      <c r="A9" s="119"/>
      <c r="B9" s="119"/>
    </row>
  </sheetData>
  <sheetProtection algorithmName="SHA-512" hashValue="tBGEtak5WecfRYoRmdhznfITDXsh/fZKTy6mmARnBcMhItjFOq36vCY9gdIVgxTAw+UmapWTwkECK8kE6xzyog==" saltValue="H/ABjbMHqV8rTNLDppv21w==" spinCount="100000" sheet="1" objects="1" scenarios="1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3"/>
  <sheetViews>
    <sheetView zoomScaleNormal="100" workbookViewId="0">
      <selection activeCell="D7" sqref="D7:L7"/>
    </sheetView>
  </sheetViews>
  <sheetFormatPr baseColWidth="10" defaultRowHeight="13" x14ac:dyDescent="0.15"/>
  <cols>
    <col min="1" max="1" width="27.83203125" bestFit="1" customWidth="1"/>
    <col min="2" max="2" width="16.83203125" customWidth="1"/>
    <col min="3" max="3" width="18.83203125" customWidth="1"/>
    <col min="10" max="10" width="19" customWidth="1"/>
    <col min="12" max="12" width="41.33203125" customWidth="1"/>
  </cols>
  <sheetData>
    <row r="1" spans="1:17" ht="16" x14ac:dyDescent="0.2">
      <c r="A1" s="121"/>
      <c r="B1" s="121"/>
      <c r="C1" s="121"/>
      <c r="D1" s="121"/>
      <c r="E1" s="121"/>
      <c r="F1" s="121"/>
      <c r="G1" s="121"/>
      <c r="H1" s="18"/>
      <c r="I1" s="665" t="str">
        <f>Product!G1</f>
        <v>COMMISSION DECISION</v>
      </c>
      <c r="J1" s="666"/>
      <c r="K1" s="790">
        <f>Product!I1</f>
        <v>0</v>
      </c>
      <c r="L1" s="791"/>
      <c r="M1" s="18"/>
      <c r="N1" s="18"/>
      <c r="O1" s="18"/>
      <c r="P1" s="18"/>
      <c r="Q1" s="18"/>
    </row>
    <row r="2" spans="1:17" ht="16" x14ac:dyDescent="0.2">
      <c r="A2" s="121"/>
      <c r="B2" s="156"/>
      <c r="C2" s="157"/>
      <c r="D2" s="157"/>
      <c r="E2" s="157"/>
      <c r="F2" s="157"/>
      <c r="G2" s="158"/>
      <c r="H2" s="18"/>
      <c r="I2" s="108"/>
      <c r="J2" s="18"/>
      <c r="K2" s="18"/>
      <c r="L2" s="18"/>
      <c r="M2" s="18"/>
      <c r="N2" s="18"/>
      <c r="O2" s="18"/>
      <c r="P2" s="18"/>
      <c r="Q2" s="18"/>
    </row>
    <row r="3" spans="1:17" ht="16" x14ac:dyDescent="0.2">
      <c r="A3" s="795" t="str">
        <f>Product!A4</f>
        <v>Contract number:</v>
      </c>
      <c r="B3" s="796"/>
      <c r="C3" s="696">
        <f>Product!C4:E4</f>
        <v>0</v>
      </c>
      <c r="D3" s="697"/>
      <c r="E3" s="697"/>
      <c r="F3" s="697"/>
      <c r="G3" s="697"/>
      <c r="H3" s="697"/>
      <c r="I3" s="698"/>
      <c r="J3" s="20"/>
      <c r="K3" s="240" t="str">
        <f>Product!H4</f>
        <v>Date:</v>
      </c>
      <c r="L3" s="92">
        <f>Product!I4</f>
        <v>0</v>
      </c>
      <c r="M3" s="18"/>
      <c r="N3" s="18"/>
      <c r="O3" s="18"/>
      <c r="P3" s="18"/>
      <c r="Q3" s="18"/>
    </row>
    <row r="4" spans="1:17" ht="16" x14ac:dyDescent="0.2">
      <c r="A4" s="795" t="str">
        <f>Product!A5</f>
        <v>Licence Holder:</v>
      </c>
      <c r="B4" s="796"/>
      <c r="C4" s="696">
        <f>Product!C5:E5</f>
        <v>0</v>
      </c>
      <c r="D4" s="697"/>
      <c r="E4" s="697"/>
      <c r="F4" s="697"/>
      <c r="G4" s="697"/>
      <c r="H4" s="697"/>
      <c r="I4" s="698"/>
      <c r="J4" s="20"/>
      <c r="K4" s="240" t="str">
        <f>Product!H5</f>
        <v>Version:</v>
      </c>
      <c r="L4" s="93">
        <f>Product!I5</f>
        <v>0</v>
      </c>
      <c r="M4" s="18"/>
      <c r="N4" s="18"/>
      <c r="O4" s="18"/>
      <c r="P4" s="18"/>
      <c r="Q4" s="18"/>
    </row>
    <row r="5" spans="1:17" ht="16" x14ac:dyDescent="0.2">
      <c r="A5" s="795" t="str">
        <f>Product!A6</f>
        <v>Distributor / Product name (Country):</v>
      </c>
      <c r="B5" s="796"/>
      <c r="C5" s="696">
        <f>Product!C6:E6</f>
        <v>0</v>
      </c>
      <c r="D5" s="697"/>
      <c r="E5" s="697"/>
      <c r="F5" s="697"/>
      <c r="G5" s="697"/>
      <c r="H5" s="697"/>
      <c r="I5" s="698"/>
      <c r="J5" s="21"/>
      <c r="K5" s="18"/>
      <c r="L5" s="18"/>
      <c r="M5" s="18"/>
      <c r="N5" s="18"/>
      <c r="O5" s="18"/>
      <c r="P5" s="18"/>
      <c r="Q5" s="18"/>
    </row>
    <row r="6" spans="1:17" x14ac:dyDescent="0.15">
      <c r="A6" s="163"/>
      <c r="B6" s="163"/>
      <c r="C6" s="163"/>
      <c r="D6" s="163"/>
      <c r="E6" s="163"/>
      <c r="F6" s="163"/>
      <c r="G6" s="163"/>
      <c r="H6" s="163"/>
      <c r="I6" s="163"/>
    </row>
    <row r="7" spans="1:17" ht="40.5" customHeight="1" x14ac:dyDescent="0.15">
      <c r="A7" s="164" t="s">
        <v>511</v>
      </c>
      <c r="B7" s="165"/>
      <c r="C7" s="164" t="s">
        <v>512</v>
      </c>
      <c r="D7" s="792"/>
      <c r="E7" s="793"/>
      <c r="F7" s="793"/>
      <c r="G7" s="793"/>
      <c r="H7" s="793"/>
      <c r="I7" s="793"/>
      <c r="J7" s="793"/>
      <c r="K7" s="793"/>
      <c r="L7" s="794"/>
    </row>
    <row r="8" spans="1:17" ht="40.5" customHeight="1" x14ac:dyDescent="0.15">
      <c r="A8" s="164" t="s">
        <v>513</v>
      </c>
      <c r="B8" s="165"/>
      <c r="C8" s="164" t="s">
        <v>512</v>
      </c>
      <c r="D8" s="792"/>
      <c r="E8" s="793"/>
      <c r="F8" s="793"/>
      <c r="G8" s="793"/>
      <c r="H8" s="793"/>
      <c r="I8" s="793"/>
      <c r="J8" s="793"/>
      <c r="K8" s="793"/>
      <c r="L8" s="794"/>
    </row>
    <row r="9" spans="1:17" ht="40.5" customHeight="1" x14ac:dyDescent="0.15">
      <c r="A9" s="164" t="s">
        <v>514</v>
      </c>
      <c r="B9" s="166"/>
      <c r="C9" s="164" t="s">
        <v>512</v>
      </c>
      <c r="D9" s="792"/>
      <c r="E9" s="793"/>
      <c r="F9" s="793"/>
      <c r="G9" s="793"/>
      <c r="H9" s="793"/>
      <c r="I9" s="793"/>
      <c r="J9" s="793"/>
      <c r="K9" s="793"/>
      <c r="L9" s="794"/>
    </row>
    <row r="10" spans="1:17" ht="40.5" customHeight="1" x14ac:dyDescent="0.15">
      <c r="A10" s="164" t="s">
        <v>515</v>
      </c>
      <c r="B10" s="166"/>
      <c r="C10" s="164" t="s">
        <v>512</v>
      </c>
      <c r="D10" s="792"/>
      <c r="E10" s="793"/>
      <c r="F10" s="793"/>
      <c r="G10" s="793"/>
      <c r="H10" s="793"/>
      <c r="I10" s="793"/>
      <c r="J10" s="793"/>
      <c r="K10" s="793"/>
      <c r="L10" s="794"/>
    </row>
    <row r="11" spans="1:17" ht="40.5" customHeight="1" x14ac:dyDescent="0.15">
      <c r="A11" s="164" t="s">
        <v>516</v>
      </c>
      <c r="B11" s="166"/>
      <c r="C11" s="164" t="s">
        <v>512</v>
      </c>
      <c r="D11" s="792"/>
      <c r="E11" s="793"/>
      <c r="F11" s="793"/>
      <c r="G11" s="793"/>
      <c r="H11" s="793"/>
      <c r="I11" s="793"/>
      <c r="J11" s="793"/>
      <c r="K11" s="793"/>
      <c r="L11" s="794"/>
    </row>
    <row r="12" spans="1:17" ht="40.5" customHeight="1" x14ac:dyDescent="0.15">
      <c r="A12" s="164" t="s">
        <v>517</v>
      </c>
      <c r="B12" s="165"/>
      <c r="C12" s="164" t="s">
        <v>512</v>
      </c>
      <c r="D12" s="792"/>
      <c r="E12" s="793"/>
      <c r="F12" s="793"/>
      <c r="G12" s="793"/>
      <c r="H12" s="793"/>
      <c r="I12" s="793"/>
      <c r="J12" s="793"/>
      <c r="K12" s="793"/>
      <c r="L12" s="794"/>
    </row>
    <row r="13" spans="1:17" ht="40.5" customHeight="1" x14ac:dyDescent="0.15">
      <c r="A13" s="164" t="s">
        <v>518</v>
      </c>
      <c r="B13" s="165"/>
      <c r="C13" s="164" t="s">
        <v>512</v>
      </c>
      <c r="D13" s="792"/>
      <c r="E13" s="793"/>
      <c r="F13" s="793"/>
      <c r="G13" s="793"/>
      <c r="H13" s="793"/>
      <c r="I13" s="793"/>
      <c r="J13" s="793"/>
      <c r="K13" s="793"/>
      <c r="L13" s="794"/>
    </row>
    <row r="14" spans="1:17" ht="40.5" customHeight="1" x14ac:dyDescent="0.15">
      <c r="A14" s="164" t="s">
        <v>514</v>
      </c>
      <c r="B14" s="166"/>
      <c r="C14" s="164" t="s">
        <v>512</v>
      </c>
      <c r="D14" s="792"/>
      <c r="E14" s="793"/>
      <c r="F14" s="793"/>
      <c r="G14" s="793"/>
      <c r="H14" s="793"/>
      <c r="I14" s="793"/>
      <c r="J14" s="793"/>
      <c r="K14" s="793"/>
      <c r="L14" s="794"/>
    </row>
    <row r="15" spans="1:17" x14ac:dyDescent="0.15">
      <c r="A15" s="163"/>
      <c r="B15" s="163"/>
      <c r="C15" s="163"/>
      <c r="D15" s="163"/>
      <c r="E15" s="163"/>
      <c r="F15" s="163"/>
      <c r="G15" s="163"/>
      <c r="H15" s="163"/>
      <c r="I15" s="163"/>
    </row>
    <row r="16" spans="1:17" x14ac:dyDescent="0.15">
      <c r="A16" s="163"/>
      <c r="B16" s="163"/>
      <c r="C16" s="163"/>
      <c r="D16" s="163"/>
      <c r="E16" s="163"/>
      <c r="F16" s="163"/>
      <c r="G16" s="163"/>
      <c r="H16" s="163"/>
      <c r="I16" s="163"/>
    </row>
    <row r="17" spans="1:9" x14ac:dyDescent="0.15">
      <c r="A17" s="163"/>
      <c r="B17" s="163"/>
      <c r="C17" s="163"/>
      <c r="D17" s="163"/>
      <c r="E17" s="163"/>
      <c r="F17" s="163"/>
      <c r="G17" s="163"/>
      <c r="H17" s="163"/>
      <c r="I17" s="163"/>
    </row>
    <row r="18" spans="1:9" x14ac:dyDescent="0.15">
      <c r="A18" s="163"/>
      <c r="B18" s="163"/>
      <c r="C18" s="163"/>
      <c r="D18" s="163"/>
      <c r="E18" s="163"/>
      <c r="F18" s="163"/>
      <c r="G18" s="163"/>
      <c r="H18" s="163"/>
      <c r="I18" s="163"/>
    </row>
    <row r="19" spans="1:9" x14ac:dyDescent="0.15">
      <c r="A19" s="163"/>
      <c r="B19" s="163"/>
      <c r="C19" s="163"/>
      <c r="D19" s="163"/>
      <c r="E19" s="163"/>
      <c r="F19" s="163"/>
      <c r="G19" s="163"/>
      <c r="H19" s="163"/>
      <c r="I19" s="163"/>
    </row>
    <row r="20" spans="1:9" x14ac:dyDescent="0.15">
      <c r="A20" s="163"/>
      <c r="B20" s="163"/>
      <c r="C20" s="163"/>
      <c r="D20" s="163"/>
      <c r="E20" s="163"/>
      <c r="F20" s="163"/>
      <c r="G20" s="163"/>
      <c r="H20" s="163"/>
      <c r="I20" s="163"/>
    </row>
    <row r="21" spans="1:9" x14ac:dyDescent="0.15">
      <c r="A21" s="163"/>
      <c r="B21" s="163"/>
      <c r="C21" s="163"/>
      <c r="D21" s="163"/>
      <c r="E21" s="163"/>
      <c r="F21" s="163"/>
      <c r="G21" s="163"/>
      <c r="H21" s="163"/>
      <c r="I21" s="163"/>
    </row>
    <row r="22" spans="1:9" x14ac:dyDescent="0.15">
      <c r="A22" s="163"/>
      <c r="B22" s="163"/>
      <c r="C22" s="163"/>
      <c r="D22" s="163"/>
      <c r="E22" s="163"/>
      <c r="F22" s="163"/>
      <c r="G22" s="163"/>
      <c r="H22" s="163"/>
      <c r="I22" s="163"/>
    </row>
    <row r="23" spans="1:9" x14ac:dyDescent="0.15">
      <c r="A23" s="163"/>
      <c r="B23" s="163"/>
      <c r="C23" s="163"/>
      <c r="D23" s="163"/>
      <c r="E23" s="163"/>
      <c r="F23" s="163"/>
      <c r="G23" s="163"/>
      <c r="H23" s="163"/>
      <c r="I23" s="163"/>
    </row>
  </sheetData>
  <mergeCells count="16">
    <mergeCell ref="A3:B3"/>
    <mergeCell ref="C3:I3"/>
    <mergeCell ref="A4:B4"/>
    <mergeCell ref="C4:I4"/>
    <mergeCell ref="A5:B5"/>
    <mergeCell ref="C5:I5"/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</mergeCells>
  <dataValidations count="1">
    <dataValidation allowBlank="1" showInputMessage="1" showErrorMessage="1" errorTitle="Please select" sqref="K1:L1" xr:uid="{00000000-0002-0000-0D00-000000000000}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/>
  <dimension ref="A3:N337"/>
  <sheetViews>
    <sheetView topLeftCell="A226" zoomScaleNormal="100" zoomScaleSheetLayoutView="100" workbookViewId="0">
      <selection activeCell="A320" sqref="A320"/>
    </sheetView>
  </sheetViews>
  <sheetFormatPr baseColWidth="10" defaultColWidth="11.5" defaultRowHeight="13" x14ac:dyDescent="0.15"/>
  <cols>
    <col min="1" max="1" width="113" style="119" customWidth="1"/>
    <col min="2" max="2" width="97.5" style="119" customWidth="1"/>
  </cols>
  <sheetData>
    <row r="3" spans="1:2" x14ac:dyDescent="0.15">
      <c r="A3" s="71" t="s">
        <v>130</v>
      </c>
      <c r="B3" s="71" t="s">
        <v>149</v>
      </c>
    </row>
    <row r="4" spans="1:2" x14ac:dyDescent="0.15">
      <c r="A4" s="84" t="s">
        <v>494</v>
      </c>
      <c r="B4" s="84" t="s">
        <v>747</v>
      </c>
    </row>
    <row r="5" spans="1:2" x14ac:dyDescent="0.15">
      <c r="A5" s="84" t="s">
        <v>846</v>
      </c>
      <c r="B5" s="84" t="s">
        <v>847</v>
      </c>
    </row>
    <row r="6" spans="1:2" x14ac:dyDescent="0.15">
      <c r="A6" s="84" t="s">
        <v>492</v>
      </c>
      <c r="B6" s="84" t="s">
        <v>493</v>
      </c>
    </row>
    <row r="7" spans="1:2" x14ac:dyDescent="0.15">
      <c r="A7" s="84" t="s">
        <v>151</v>
      </c>
      <c r="B7" s="84" t="s">
        <v>152</v>
      </c>
    </row>
    <row r="8" spans="1:2" x14ac:dyDescent="0.15">
      <c r="A8" s="84" t="s">
        <v>8</v>
      </c>
      <c r="B8" s="84" t="s">
        <v>153</v>
      </c>
    </row>
    <row r="9" spans="1:2" x14ac:dyDescent="0.15">
      <c r="A9" s="84" t="s">
        <v>11</v>
      </c>
      <c r="B9" s="84" t="s">
        <v>11</v>
      </c>
    </row>
    <row r="10" spans="1:2" x14ac:dyDescent="0.15">
      <c r="A10" s="84" t="s">
        <v>1</v>
      </c>
      <c r="B10" s="114" t="s">
        <v>159</v>
      </c>
    </row>
    <row r="11" spans="1:2" x14ac:dyDescent="0.15">
      <c r="A11" s="84" t="s">
        <v>0</v>
      </c>
      <c r="B11" s="84" t="s">
        <v>160</v>
      </c>
    </row>
    <row r="12" spans="1:2" x14ac:dyDescent="0.15">
      <c r="A12" s="84" t="s">
        <v>3</v>
      </c>
      <c r="B12" s="84" t="s">
        <v>161</v>
      </c>
    </row>
    <row r="13" spans="1:2" x14ac:dyDescent="0.15">
      <c r="A13" s="84" t="s">
        <v>791</v>
      </c>
      <c r="B13" s="84" t="s">
        <v>792</v>
      </c>
    </row>
    <row r="14" spans="1:2" x14ac:dyDescent="0.15">
      <c r="A14" s="84" t="s">
        <v>139</v>
      </c>
      <c r="B14" s="84" t="s">
        <v>162</v>
      </c>
    </row>
    <row r="15" spans="1:2" x14ac:dyDescent="0.15">
      <c r="A15" s="84" t="s">
        <v>347</v>
      </c>
      <c r="B15" s="84" t="s">
        <v>389</v>
      </c>
    </row>
    <row r="16" spans="1:2" ht="28" x14ac:dyDescent="0.15">
      <c r="A16" s="83" t="s">
        <v>12</v>
      </c>
      <c r="B16" s="84" t="s">
        <v>154</v>
      </c>
    </row>
    <row r="17" spans="1:2" x14ac:dyDescent="0.15">
      <c r="A17" s="84" t="s">
        <v>135</v>
      </c>
      <c r="B17" s="84" t="s">
        <v>155</v>
      </c>
    </row>
    <row r="18" spans="1:2" x14ac:dyDescent="0.15">
      <c r="A18" s="84" t="s">
        <v>6</v>
      </c>
      <c r="B18" s="84" t="s">
        <v>156</v>
      </c>
    </row>
    <row r="19" spans="1:2" x14ac:dyDescent="0.15">
      <c r="A19" s="84" t="s">
        <v>5</v>
      </c>
      <c r="B19" s="84" t="s">
        <v>163</v>
      </c>
    </row>
    <row r="20" spans="1:2" x14ac:dyDescent="0.15">
      <c r="A20" s="84" t="s">
        <v>157</v>
      </c>
      <c r="B20" s="84" t="s">
        <v>157</v>
      </c>
    </row>
    <row r="21" spans="1:2" ht="28" x14ac:dyDescent="0.15">
      <c r="A21" s="83" t="s">
        <v>176</v>
      </c>
      <c r="B21" s="84" t="s">
        <v>171</v>
      </c>
    </row>
    <row r="22" spans="1:2" ht="28" x14ac:dyDescent="0.15">
      <c r="A22" s="83" t="s">
        <v>177</v>
      </c>
      <c r="B22" s="84" t="s">
        <v>172</v>
      </c>
    </row>
    <row r="23" spans="1:2" x14ac:dyDescent="0.15">
      <c r="A23" s="84" t="s">
        <v>4</v>
      </c>
      <c r="B23" s="84" t="s">
        <v>158</v>
      </c>
    </row>
    <row r="24" spans="1:2" x14ac:dyDescent="0.15">
      <c r="A24" s="84" t="s">
        <v>9</v>
      </c>
      <c r="B24" s="84" t="s">
        <v>165</v>
      </c>
    </row>
    <row r="25" spans="1:2" x14ac:dyDescent="0.15">
      <c r="A25" s="84" t="s">
        <v>10</v>
      </c>
      <c r="B25" s="84" t="s">
        <v>164</v>
      </c>
    </row>
    <row r="26" spans="1:2" x14ac:dyDescent="0.15">
      <c r="A26" s="84" t="s">
        <v>148</v>
      </c>
      <c r="B26" s="84" t="s">
        <v>166</v>
      </c>
    </row>
    <row r="27" spans="1:2" ht="28" x14ac:dyDescent="0.15">
      <c r="A27" s="83" t="s">
        <v>211</v>
      </c>
      <c r="B27" s="83" t="s">
        <v>213</v>
      </c>
    </row>
    <row r="28" spans="1:2" ht="28" x14ac:dyDescent="0.15">
      <c r="A28" s="83" t="s">
        <v>212</v>
      </c>
      <c r="B28" s="83" t="s">
        <v>214</v>
      </c>
    </row>
    <row r="29" spans="1:2" ht="29" x14ac:dyDescent="0.15">
      <c r="A29" s="113" t="s">
        <v>827</v>
      </c>
      <c r="B29" s="113" t="s">
        <v>828</v>
      </c>
    </row>
    <row r="30" spans="1:2" x14ac:dyDescent="0.15">
      <c r="A30" s="84" t="s">
        <v>521</v>
      </c>
      <c r="B30" s="84" t="s">
        <v>522</v>
      </c>
    </row>
    <row r="31" spans="1:2" x14ac:dyDescent="0.15">
      <c r="A31" s="84" t="s">
        <v>144</v>
      </c>
      <c r="B31" s="84" t="s">
        <v>232</v>
      </c>
    </row>
    <row r="32" spans="1:2" x14ac:dyDescent="0.15">
      <c r="A32" s="84" t="s">
        <v>551</v>
      </c>
      <c r="B32" s="84" t="s">
        <v>552</v>
      </c>
    </row>
    <row r="33" spans="1:14" ht="14" x14ac:dyDescent="0.15">
      <c r="A33" s="115" t="s">
        <v>519</v>
      </c>
      <c r="B33" s="113" t="s">
        <v>520</v>
      </c>
    </row>
    <row r="34" spans="1:14" ht="42" x14ac:dyDescent="0.15">
      <c r="A34" s="83" t="s">
        <v>181</v>
      </c>
      <c r="B34" s="83" t="s">
        <v>227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15">
      <c r="A35" s="84" t="s">
        <v>183</v>
      </c>
      <c r="B35" s="84" t="s">
        <v>186</v>
      </c>
    </row>
    <row r="36" spans="1:14" x14ac:dyDescent="0.15">
      <c r="A36" s="84" t="s">
        <v>184</v>
      </c>
      <c r="B36" s="84" t="s">
        <v>20</v>
      </c>
    </row>
    <row r="37" spans="1:14" x14ac:dyDescent="0.15">
      <c r="A37" s="84" t="s">
        <v>185</v>
      </c>
      <c r="B37" s="84" t="s">
        <v>187</v>
      </c>
    </row>
    <row r="38" spans="1:14" x14ac:dyDescent="0.15">
      <c r="A38" s="84" t="s">
        <v>228</v>
      </c>
      <c r="B38" s="84" t="s">
        <v>230</v>
      </c>
    </row>
    <row r="39" spans="1:14" x14ac:dyDescent="0.15">
      <c r="A39" s="84" t="s">
        <v>229</v>
      </c>
      <c r="B39" s="84" t="s">
        <v>231</v>
      </c>
    </row>
    <row r="40" spans="1:14" x14ac:dyDescent="0.15">
      <c r="A40" s="84" t="s">
        <v>134</v>
      </c>
      <c r="B40" s="84" t="s">
        <v>188</v>
      </c>
    </row>
    <row r="41" spans="1:14" x14ac:dyDescent="0.15">
      <c r="A41" s="84" t="s">
        <v>616</v>
      </c>
      <c r="B41" s="84" t="s">
        <v>617</v>
      </c>
    </row>
    <row r="42" spans="1:14" x14ac:dyDescent="0.15">
      <c r="A42" s="84" t="s">
        <v>530</v>
      </c>
      <c r="B42" s="84" t="s">
        <v>531</v>
      </c>
    </row>
    <row r="43" spans="1:14" ht="14" x14ac:dyDescent="0.15">
      <c r="A43" s="83" t="s">
        <v>544</v>
      </c>
      <c r="B43" s="83" t="s">
        <v>542</v>
      </c>
    </row>
    <row r="44" spans="1:14" ht="14" x14ac:dyDescent="0.15">
      <c r="A44" s="83" t="s">
        <v>545</v>
      </c>
      <c r="B44" s="83" t="s">
        <v>543</v>
      </c>
    </row>
    <row r="45" spans="1:14" ht="14" x14ac:dyDescent="0.15">
      <c r="A45" s="83" t="s">
        <v>540</v>
      </c>
      <c r="B45" s="83" t="s">
        <v>541</v>
      </c>
    </row>
    <row r="46" spans="1:14" x14ac:dyDescent="0.15">
      <c r="A46" s="84" t="s">
        <v>350</v>
      </c>
      <c r="B46" s="84" t="s">
        <v>396</v>
      </c>
    </row>
    <row r="47" spans="1:14" x14ac:dyDescent="0.15">
      <c r="A47" s="116" t="s">
        <v>353</v>
      </c>
      <c r="B47" s="116" t="s">
        <v>354</v>
      </c>
    </row>
    <row r="48" spans="1:14" x14ac:dyDescent="0.15">
      <c r="A48" s="116" t="s">
        <v>942</v>
      </c>
      <c r="B48" s="116" t="s">
        <v>943</v>
      </c>
    </row>
    <row r="49" spans="1:2" x14ac:dyDescent="0.15">
      <c r="A49" s="116" t="s">
        <v>357</v>
      </c>
      <c r="B49" s="116" t="s">
        <v>390</v>
      </c>
    </row>
    <row r="50" spans="1:2" x14ac:dyDescent="0.15">
      <c r="A50" s="116" t="s">
        <v>358</v>
      </c>
      <c r="B50" s="116" t="s">
        <v>391</v>
      </c>
    </row>
    <row r="51" spans="1:2" ht="14" x14ac:dyDescent="0.15">
      <c r="A51" s="83" t="s">
        <v>538</v>
      </c>
      <c r="B51" s="83" t="s">
        <v>539</v>
      </c>
    </row>
    <row r="52" spans="1:2" ht="14" x14ac:dyDescent="0.15">
      <c r="A52" s="83" t="s">
        <v>797</v>
      </c>
      <c r="B52" s="83" t="s">
        <v>797</v>
      </c>
    </row>
    <row r="53" spans="1:2" ht="40.5" customHeight="1" x14ac:dyDescent="0.15">
      <c r="A53" s="113" t="s">
        <v>167</v>
      </c>
      <c r="B53" s="113" t="s">
        <v>169</v>
      </c>
    </row>
    <row r="54" spans="1:2" ht="28" x14ac:dyDescent="0.15">
      <c r="A54" s="83" t="s">
        <v>168</v>
      </c>
      <c r="B54" s="83" t="s">
        <v>170</v>
      </c>
    </row>
    <row r="55" spans="1:2" x14ac:dyDescent="0.15">
      <c r="A55" s="84" t="s">
        <v>483</v>
      </c>
      <c r="B55" s="84" t="s">
        <v>178</v>
      </c>
    </row>
    <row r="56" spans="1:2" x14ac:dyDescent="0.15">
      <c r="A56" s="84" t="s">
        <v>404</v>
      </c>
      <c r="B56" s="84" t="s">
        <v>405</v>
      </c>
    </row>
    <row r="57" spans="1:2" x14ac:dyDescent="0.15">
      <c r="A57" s="84" t="s">
        <v>503</v>
      </c>
      <c r="B57" s="84" t="s">
        <v>504</v>
      </c>
    </row>
    <row r="58" spans="1:2" ht="14" x14ac:dyDescent="0.15">
      <c r="A58" s="83" t="s">
        <v>406</v>
      </c>
      <c r="B58" s="84" t="s">
        <v>505</v>
      </c>
    </row>
    <row r="59" spans="1:2" x14ac:dyDescent="0.15">
      <c r="A59" s="84" t="s">
        <v>216</v>
      </c>
      <c r="B59" s="84" t="s">
        <v>217</v>
      </c>
    </row>
    <row r="60" spans="1:2" x14ac:dyDescent="0.15">
      <c r="A60" s="91" t="s">
        <v>346</v>
      </c>
      <c r="B60" s="84" t="s">
        <v>479</v>
      </c>
    </row>
    <row r="61" spans="1:2" x14ac:dyDescent="0.15">
      <c r="A61" s="91" t="s">
        <v>345</v>
      </c>
      <c r="B61" s="84" t="s">
        <v>480</v>
      </c>
    </row>
    <row r="62" spans="1:2" x14ac:dyDescent="0.15">
      <c r="A62" s="91" t="s">
        <v>140</v>
      </c>
      <c r="B62" s="84" t="s">
        <v>174</v>
      </c>
    </row>
    <row r="63" spans="1:2" x14ac:dyDescent="0.15">
      <c r="A63" s="91" t="s">
        <v>219</v>
      </c>
      <c r="B63" s="84" t="s">
        <v>220</v>
      </c>
    </row>
    <row r="64" spans="1:2" x14ac:dyDescent="0.15">
      <c r="A64" s="91" t="s">
        <v>137</v>
      </c>
      <c r="B64" s="84" t="s">
        <v>175</v>
      </c>
    </row>
    <row r="65" spans="1:2" x14ac:dyDescent="0.15">
      <c r="A65" s="91" t="s">
        <v>532</v>
      </c>
      <c r="B65" s="84" t="s">
        <v>533</v>
      </c>
    </row>
    <row r="66" spans="1:2" x14ac:dyDescent="0.15">
      <c r="A66" s="91" t="s">
        <v>534</v>
      </c>
      <c r="B66" s="84" t="s">
        <v>535</v>
      </c>
    </row>
    <row r="67" spans="1:2" x14ac:dyDescent="0.15">
      <c r="A67" s="91" t="s">
        <v>537</v>
      </c>
      <c r="B67" s="84" t="s">
        <v>536</v>
      </c>
    </row>
    <row r="68" spans="1:2" x14ac:dyDescent="0.15">
      <c r="A68" s="91" t="s">
        <v>415</v>
      </c>
      <c r="B68" s="84" t="s">
        <v>416</v>
      </c>
    </row>
    <row r="69" spans="1:2" x14ac:dyDescent="0.15">
      <c r="A69" s="91" t="s">
        <v>138</v>
      </c>
      <c r="B69" s="84" t="s">
        <v>173</v>
      </c>
    </row>
    <row r="70" spans="1:2" x14ac:dyDescent="0.15">
      <c r="A70" s="91" t="s">
        <v>131</v>
      </c>
      <c r="B70" s="84" t="s">
        <v>24</v>
      </c>
    </row>
    <row r="71" spans="1:2" x14ac:dyDescent="0.15">
      <c r="A71" s="91" t="s">
        <v>28</v>
      </c>
      <c r="B71" s="84" t="s">
        <v>28</v>
      </c>
    </row>
    <row r="72" spans="1:2" x14ac:dyDescent="0.15">
      <c r="A72" s="91" t="s">
        <v>132</v>
      </c>
      <c r="B72" s="84" t="s">
        <v>35</v>
      </c>
    </row>
    <row r="73" spans="1:2" x14ac:dyDescent="0.15">
      <c r="A73" s="91" t="s">
        <v>26</v>
      </c>
      <c r="B73" s="84" t="s">
        <v>26</v>
      </c>
    </row>
    <row r="74" spans="1:2" x14ac:dyDescent="0.15">
      <c r="A74" s="91" t="s">
        <v>45</v>
      </c>
      <c r="B74" s="84" t="s">
        <v>45</v>
      </c>
    </row>
    <row r="75" spans="1:2" x14ac:dyDescent="0.15">
      <c r="A75" s="91" t="s">
        <v>133</v>
      </c>
      <c r="B75" s="84" t="s">
        <v>27</v>
      </c>
    </row>
    <row r="76" spans="1:2" x14ac:dyDescent="0.15">
      <c r="A76" s="91" t="s">
        <v>25</v>
      </c>
      <c r="B76" s="84" t="s">
        <v>25</v>
      </c>
    </row>
    <row r="77" spans="1:2" x14ac:dyDescent="0.15">
      <c r="A77" s="91" t="s">
        <v>26</v>
      </c>
      <c r="B77" s="84" t="s">
        <v>26</v>
      </c>
    </row>
    <row r="78" spans="1:2" x14ac:dyDescent="0.15">
      <c r="A78" s="91" t="s">
        <v>45</v>
      </c>
      <c r="B78" s="84" t="s">
        <v>45</v>
      </c>
    </row>
    <row r="79" spans="1:2" x14ac:dyDescent="0.15">
      <c r="A79" s="91" t="s">
        <v>991</v>
      </c>
      <c r="B79" s="84" t="s">
        <v>124</v>
      </c>
    </row>
    <row r="80" spans="1:2" x14ac:dyDescent="0.15">
      <c r="A80" s="91" t="s">
        <v>992</v>
      </c>
      <c r="B80" s="84" t="s">
        <v>990</v>
      </c>
    </row>
    <row r="81" spans="1:2" x14ac:dyDescent="0.15">
      <c r="A81" s="84" t="s">
        <v>190</v>
      </c>
      <c r="B81" s="84" t="s">
        <v>125</v>
      </c>
    </row>
    <row r="82" spans="1:2" x14ac:dyDescent="0.15">
      <c r="A82" s="84" t="s">
        <v>191</v>
      </c>
      <c r="B82" s="84" t="s">
        <v>126</v>
      </c>
    </row>
    <row r="83" spans="1:2" x14ac:dyDescent="0.15">
      <c r="A83" s="84" t="s">
        <v>192</v>
      </c>
      <c r="B83" s="84" t="s">
        <v>127</v>
      </c>
    </row>
    <row r="84" spans="1:2" x14ac:dyDescent="0.15">
      <c r="A84" s="84" t="s">
        <v>189</v>
      </c>
      <c r="B84" s="84" t="s">
        <v>128</v>
      </c>
    </row>
    <row r="85" spans="1:2" x14ac:dyDescent="0.15">
      <c r="A85" s="84" t="s">
        <v>198</v>
      </c>
      <c r="B85" s="84" t="s">
        <v>129</v>
      </c>
    </row>
    <row r="86" spans="1:2" x14ac:dyDescent="0.15">
      <c r="A86" s="84" t="s">
        <v>191</v>
      </c>
      <c r="B86" s="84" t="s">
        <v>126</v>
      </c>
    </row>
    <row r="87" spans="1:2" x14ac:dyDescent="0.15">
      <c r="A87" s="84" t="s">
        <v>192</v>
      </c>
      <c r="B87" s="84" t="s">
        <v>127</v>
      </c>
    </row>
    <row r="88" spans="1:2" x14ac:dyDescent="0.15">
      <c r="A88" s="84" t="s">
        <v>147</v>
      </c>
      <c r="B88" s="84" t="s">
        <v>204</v>
      </c>
    </row>
    <row r="89" spans="1:2" x14ac:dyDescent="0.15">
      <c r="A89" s="117" t="s">
        <v>136</v>
      </c>
      <c r="B89" s="117" t="s">
        <v>205</v>
      </c>
    </row>
    <row r="90" spans="1:2" x14ac:dyDescent="0.15">
      <c r="A90" s="84" t="s">
        <v>203</v>
      </c>
      <c r="B90" s="84" t="s">
        <v>206</v>
      </c>
    </row>
    <row r="91" spans="1:2" x14ac:dyDescent="0.15">
      <c r="A91" s="84" t="s">
        <v>351</v>
      </c>
      <c r="B91" s="84" t="s">
        <v>352</v>
      </c>
    </row>
    <row r="92" spans="1:2" x14ac:dyDescent="0.15">
      <c r="A92" s="118" t="s">
        <v>208</v>
      </c>
      <c r="B92" s="84" t="s">
        <v>218</v>
      </c>
    </row>
    <row r="93" spans="1:2" ht="28" x14ac:dyDescent="0.15">
      <c r="A93" s="89" t="s">
        <v>367</v>
      </c>
      <c r="B93" s="84" t="s">
        <v>362</v>
      </c>
    </row>
    <row r="94" spans="1:2" ht="28" x14ac:dyDescent="0.15">
      <c r="A94" s="89" t="s">
        <v>368</v>
      </c>
      <c r="B94" s="84" t="s">
        <v>366</v>
      </c>
    </row>
    <row r="95" spans="1:2" ht="28" x14ac:dyDescent="0.15">
      <c r="A95" s="89" t="s">
        <v>398</v>
      </c>
      <c r="B95" s="83" t="s">
        <v>397</v>
      </c>
    </row>
    <row r="96" spans="1:2" ht="14" x14ac:dyDescent="0.15">
      <c r="A96" s="89" t="s">
        <v>394</v>
      </c>
      <c r="B96" s="113" t="s">
        <v>395</v>
      </c>
    </row>
    <row r="97" spans="1:2" ht="14" x14ac:dyDescent="0.15">
      <c r="A97" s="89" t="s">
        <v>799</v>
      </c>
      <c r="B97" s="113" t="s">
        <v>800</v>
      </c>
    </row>
    <row r="98" spans="1:2" ht="14" x14ac:dyDescent="0.15">
      <c r="A98" s="89" t="s">
        <v>798</v>
      </c>
      <c r="B98" s="89" t="s">
        <v>798</v>
      </c>
    </row>
    <row r="99" spans="1:2" ht="11.25" customHeight="1" x14ac:dyDescent="0.15">
      <c r="A99" s="89" t="s">
        <v>355</v>
      </c>
      <c r="B99" s="89" t="s">
        <v>356</v>
      </c>
    </row>
    <row r="100" spans="1:2" s="111" customFormat="1" x14ac:dyDescent="0.15">
      <c r="A100" s="118" t="s">
        <v>221</v>
      </c>
      <c r="B100" s="84" t="s">
        <v>222</v>
      </c>
    </row>
    <row r="101" spans="1:2" x14ac:dyDescent="0.15">
      <c r="A101" s="118" t="s">
        <v>225</v>
      </c>
      <c r="B101" s="84" t="s">
        <v>223</v>
      </c>
    </row>
    <row r="102" spans="1:2" x14ac:dyDescent="0.15">
      <c r="A102" s="118" t="s">
        <v>226</v>
      </c>
      <c r="B102" s="84" t="s">
        <v>224</v>
      </c>
    </row>
    <row r="103" spans="1:2" x14ac:dyDescent="0.15">
      <c r="A103" s="84" t="s">
        <v>553</v>
      </c>
      <c r="B103" s="84" t="s">
        <v>554</v>
      </c>
    </row>
    <row r="104" spans="1:2" ht="42" x14ac:dyDescent="0.15">
      <c r="A104" s="89" t="s">
        <v>878</v>
      </c>
      <c r="B104" s="83" t="s">
        <v>879</v>
      </c>
    </row>
    <row r="105" spans="1:2" ht="14" x14ac:dyDescent="0.15">
      <c r="A105" s="89" t="s">
        <v>392</v>
      </c>
      <c r="B105" s="83" t="s">
        <v>393</v>
      </c>
    </row>
    <row r="106" spans="1:2" x14ac:dyDescent="0.15">
      <c r="A106" s="84" t="s">
        <v>348</v>
      </c>
      <c r="B106" s="84" t="s">
        <v>349</v>
      </c>
    </row>
    <row r="107" spans="1:2" x14ac:dyDescent="0.15">
      <c r="A107" s="84" t="s">
        <v>361</v>
      </c>
      <c r="B107" s="84" t="s">
        <v>372</v>
      </c>
    </row>
    <row r="108" spans="1:2" x14ac:dyDescent="0.15">
      <c r="A108" s="84" t="s">
        <v>363</v>
      </c>
      <c r="B108" s="84" t="s">
        <v>373</v>
      </c>
    </row>
    <row r="109" spans="1:2" x14ac:dyDescent="0.15">
      <c r="A109" s="84" t="s">
        <v>364</v>
      </c>
      <c r="B109" s="84" t="s">
        <v>374</v>
      </c>
    </row>
    <row r="110" spans="1:2" x14ac:dyDescent="0.15">
      <c r="A110" s="84" t="s">
        <v>365</v>
      </c>
      <c r="B110" s="84" t="s">
        <v>375</v>
      </c>
    </row>
    <row r="111" spans="1:2" x14ac:dyDescent="0.15">
      <c r="A111" s="84" t="s">
        <v>360</v>
      </c>
      <c r="B111" s="84" t="s">
        <v>378</v>
      </c>
    </row>
    <row r="112" spans="1:2" x14ac:dyDescent="0.15">
      <c r="A112" s="84" t="s">
        <v>369</v>
      </c>
      <c r="B112" s="84" t="s">
        <v>379</v>
      </c>
    </row>
    <row r="113" spans="1:2" ht="42" x14ac:dyDescent="0.15">
      <c r="A113" s="83" t="s">
        <v>207</v>
      </c>
      <c r="B113" s="83" t="s">
        <v>385</v>
      </c>
    </row>
    <row r="114" spans="1:2" ht="28" x14ac:dyDescent="0.15">
      <c r="A114" s="84" t="s">
        <v>370</v>
      </c>
      <c r="B114" s="83" t="s">
        <v>380</v>
      </c>
    </row>
    <row r="115" spans="1:2" ht="28" x14ac:dyDescent="0.15">
      <c r="A115" s="83" t="s">
        <v>382</v>
      </c>
      <c r="B115" s="83" t="s">
        <v>474</v>
      </c>
    </row>
    <row r="116" spans="1:2" ht="28" x14ac:dyDescent="0.15">
      <c r="A116" s="83" t="s">
        <v>388</v>
      </c>
      <c r="B116" s="83" t="s">
        <v>387</v>
      </c>
    </row>
    <row r="117" spans="1:2" ht="42" x14ac:dyDescent="0.15">
      <c r="A117" s="83" t="s">
        <v>359</v>
      </c>
      <c r="B117" s="83" t="s">
        <v>386</v>
      </c>
    </row>
    <row r="118" spans="1:2" ht="28" x14ac:dyDescent="0.15">
      <c r="A118" s="84" t="s">
        <v>371</v>
      </c>
      <c r="B118" s="83" t="s">
        <v>381</v>
      </c>
    </row>
    <row r="119" spans="1:2" ht="28" x14ac:dyDescent="0.15">
      <c r="A119" s="89" t="s">
        <v>376</v>
      </c>
      <c r="B119" s="83" t="s">
        <v>384</v>
      </c>
    </row>
    <row r="120" spans="1:2" ht="28" x14ac:dyDescent="0.15">
      <c r="A120" s="89" t="s">
        <v>377</v>
      </c>
      <c r="B120" s="83" t="s">
        <v>383</v>
      </c>
    </row>
    <row r="121" spans="1:2" ht="14" x14ac:dyDescent="0.15">
      <c r="A121" s="147" t="s">
        <v>486</v>
      </c>
      <c r="B121" s="119" t="s">
        <v>487</v>
      </c>
    </row>
    <row r="122" spans="1:2" ht="14" x14ac:dyDescent="0.15">
      <c r="A122" s="147" t="s">
        <v>399</v>
      </c>
      <c r="B122" s="147" t="s">
        <v>410</v>
      </c>
    </row>
    <row r="123" spans="1:2" ht="14" x14ac:dyDescent="0.15">
      <c r="A123" s="147" t="s">
        <v>491</v>
      </c>
      <c r="B123" s="147" t="s">
        <v>490</v>
      </c>
    </row>
    <row r="124" spans="1:2" ht="10.5" customHeight="1" x14ac:dyDescent="0.15">
      <c r="A124" s="147" t="s">
        <v>409</v>
      </c>
      <c r="B124" s="147" t="s">
        <v>411</v>
      </c>
    </row>
    <row r="125" spans="1:2" ht="42" x14ac:dyDescent="0.15">
      <c r="A125" s="147" t="s">
        <v>482</v>
      </c>
      <c r="B125" s="147" t="s">
        <v>481</v>
      </c>
    </row>
    <row r="126" spans="1:2" ht="28" x14ac:dyDescent="0.15">
      <c r="A126" s="147" t="s">
        <v>501</v>
      </c>
      <c r="B126" s="147" t="s">
        <v>502</v>
      </c>
    </row>
    <row r="127" spans="1:2" ht="14" x14ac:dyDescent="0.15">
      <c r="A127" s="147" t="s">
        <v>400</v>
      </c>
      <c r="B127" s="147" t="s">
        <v>414</v>
      </c>
    </row>
    <row r="128" spans="1:2" ht="14" x14ac:dyDescent="0.15">
      <c r="A128" s="147" t="s">
        <v>401</v>
      </c>
      <c r="B128" s="147" t="s">
        <v>401</v>
      </c>
    </row>
    <row r="129" spans="1:2" ht="14" x14ac:dyDescent="0.15">
      <c r="A129" s="147" t="s">
        <v>488</v>
      </c>
      <c r="B129" s="147" t="s">
        <v>489</v>
      </c>
    </row>
    <row r="130" spans="1:2" ht="28" x14ac:dyDescent="0.15">
      <c r="A130" s="147" t="s">
        <v>402</v>
      </c>
      <c r="B130" s="147" t="s">
        <v>412</v>
      </c>
    </row>
    <row r="131" spans="1:2" ht="14" x14ac:dyDescent="0.15">
      <c r="A131" s="147" t="s">
        <v>403</v>
      </c>
      <c r="B131" s="147" t="s">
        <v>413</v>
      </c>
    </row>
    <row r="132" spans="1:2" ht="14" x14ac:dyDescent="0.15">
      <c r="A132" s="89" t="s">
        <v>555</v>
      </c>
      <c r="B132" s="83" t="s">
        <v>557</v>
      </c>
    </row>
    <row r="133" spans="1:2" ht="14" x14ac:dyDescent="0.15">
      <c r="A133" s="89" t="s">
        <v>556</v>
      </c>
      <c r="B133" s="83" t="s">
        <v>558</v>
      </c>
    </row>
    <row r="134" spans="1:2" x14ac:dyDescent="0.15">
      <c r="A134" s="84" t="s">
        <v>406</v>
      </c>
      <c r="B134" s="84" t="s">
        <v>407</v>
      </c>
    </row>
    <row r="135" spans="1:2" x14ac:dyDescent="0.15">
      <c r="A135" s="84" t="s">
        <v>420</v>
      </c>
      <c r="B135" s="84" t="s">
        <v>419</v>
      </c>
    </row>
    <row r="136" spans="1:2" x14ac:dyDescent="0.15">
      <c r="A136" s="84" t="s">
        <v>421</v>
      </c>
      <c r="B136" s="84" t="s">
        <v>422</v>
      </c>
    </row>
    <row r="137" spans="1:2" ht="13.5" customHeight="1" x14ac:dyDescent="0.15">
      <c r="A137" s="89" t="s">
        <v>472</v>
      </c>
      <c r="B137" s="83" t="s">
        <v>473</v>
      </c>
    </row>
    <row r="138" spans="1:2" x14ac:dyDescent="0.15">
      <c r="A138" s="84" t="s">
        <v>423</v>
      </c>
      <c r="B138" s="84" t="s">
        <v>427</v>
      </c>
    </row>
    <row r="139" spans="1:2" x14ac:dyDescent="0.15">
      <c r="A139" s="84" t="s">
        <v>424</v>
      </c>
      <c r="B139" s="84" t="s">
        <v>428</v>
      </c>
    </row>
    <row r="140" spans="1:2" x14ac:dyDescent="0.15">
      <c r="A140" s="84" t="s">
        <v>425</v>
      </c>
      <c r="B140" s="84" t="s">
        <v>429</v>
      </c>
    </row>
    <row r="141" spans="1:2" x14ac:dyDescent="0.15">
      <c r="A141" s="84" t="s">
        <v>426</v>
      </c>
      <c r="B141" s="84" t="s">
        <v>426</v>
      </c>
    </row>
    <row r="142" spans="1:2" ht="28" x14ac:dyDescent="0.15">
      <c r="A142" s="147" t="s">
        <v>862</v>
      </c>
      <c r="B142" s="147" t="s">
        <v>875</v>
      </c>
    </row>
    <row r="143" spans="1:2" x14ac:dyDescent="0.15">
      <c r="A143" s="117" t="s">
        <v>443</v>
      </c>
      <c r="B143" s="117" t="s">
        <v>445</v>
      </c>
    </row>
    <row r="144" spans="1:2" x14ac:dyDescent="0.15">
      <c r="A144" s="117" t="s">
        <v>863</v>
      </c>
      <c r="B144" s="117" t="s">
        <v>446</v>
      </c>
    </row>
    <row r="145" spans="1:2" x14ac:dyDescent="0.15">
      <c r="A145" s="117" t="s">
        <v>444</v>
      </c>
      <c r="B145" s="117" t="s">
        <v>447</v>
      </c>
    </row>
    <row r="146" spans="1:2" x14ac:dyDescent="0.15">
      <c r="A146" s="117" t="s">
        <v>448</v>
      </c>
      <c r="B146" s="117" t="s">
        <v>449</v>
      </c>
    </row>
    <row r="147" spans="1:2" x14ac:dyDescent="0.15">
      <c r="A147" s="117" t="s">
        <v>432</v>
      </c>
      <c r="B147" s="117" t="s">
        <v>450</v>
      </c>
    </row>
    <row r="148" spans="1:2" x14ac:dyDescent="0.15">
      <c r="A148" s="117" t="s">
        <v>452</v>
      </c>
      <c r="B148" s="117" t="s">
        <v>459</v>
      </c>
    </row>
    <row r="149" spans="1:2" x14ac:dyDescent="0.15">
      <c r="A149" s="84" t="s">
        <v>454</v>
      </c>
      <c r="B149" s="84" t="s">
        <v>461</v>
      </c>
    </row>
    <row r="150" spans="1:2" x14ac:dyDescent="0.15">
      <c r="A150" s="84" t="s">
        <v>455</v>
      </c>
      <c r="B150" s="84" t="s">
        <v>462</v>
      </c>
    </row>
    <row r="151" spans="1:2" x14ac:dyDescent="0.15">
      <c r="A151" s="84" t="s">
        <v>433</v>
      </c>
      <c r="B151" s="84" t="s">
        <v>451</v>
      </c>
    </row>
    <row r="152" spans="1:2" ht="14" x14ac:dyDescent="0.15">
      <c r="A152" s="83" t="s">
        <v>865</v>
      </c>
      <c r="B152" s="83" t="s">
        <v>864</v>
      </c>
    </row>
    <row r="153" spans="1:2" ht="15" x14ac:dyDescent="0.2">
      <c r="A153" s="83" t="s">
        <v>866</v>
      </c>
      <c r="B153" s="83" t="s">
        <v>868</v>
      </c>
    </row>
    <row r="154" spans="1:2" x14ac:dyDescent="0.15">
      <c r="A154" s="84" t="s">
        <v>456</v>
      </c>
      <c r="B154" s="84" t="s">
        <v>463</v>
      </c>
    </row>
    <row r="155" spans="1:2" x14ac:dyDescent="0.15">
      <c r="A155" s="84" t="s">
        <v>457</v>
      </c>
      <c r="B155" s="84" t="s">
        <v>464</v>
      </c>
    </row>
    <row r="156" spans="1:2" x14ac:dyDescent="0.15">
      <c r="A156" s="84" t="s">
        <v>458</v>
      </c>
      <c r="B156" s="84" t="s">
        <v>465</v>
      </c>
    </row>
    <row r="157" spans="1:2" x14ac:dyDescent="0.15">
      <c r="A157" s="84" t="s">
        <v>434</v>
      </c>
      <c r="B157" s="84" t="s">
        <v>466</v>
      </c>
    </row>
    <row r="158" spans="1:2" x14ac:dyDescent="0.15">
      <c r="A158" s="84" t="s">
        <v>870</v>
      </c>
      <c r="B158" s="84" t="s">
        <v>435</v>
      </c>
    </row>
    <row r="159" spans="1:2" x14ac:dyDescent="0.15">
      <c r="A159" s="84" t="s">
        <v>441</v>
      </c>
      <c r="B159" s="84" t="s">
        <v>467</v>
      </c>
    </row>
    <row r="160" spans="1:2" x14ac:dyDescent="0.15">
      <c r="A160" s="84" t="s">
        <v>869</v>
      </c>
      <c r="B160" s="84" t="s">
        <v>867</v>
      </c>
    </row>
    <row r="161" spans="1:2" x14ac:dyDescent="0.15">
      <c r="A161" s="84" t="s">
        <v>436</v>
      </c>
      <c r="B161" s="84" t="s">
        <v>468</v>
      </c>
    </row>
    <row r="162" spans="1:2" x14ac:dyDescent="0.15">
      <c r="A162" s="84" t="s">
        <v>453</v>
      </c>
      <c r="B162" s="84" t="s">
        <v>460</v>
      </c>
    </row>
    <row r="163" spans="1:2" x14ac:dyDescent="0.15">
      <c r="A163" s="84" t="s">
        <v>437</v>
      </c>
      <c r="B163" s="84" t="s">
        <v>469</v>
      </c>
    </row>
    <row r="164" spans="1:2" x14ac:dyDescent="0.15">
      <c r="A164" s="84" t="s">
        <v>438</v>
      </c>
      <c r="B164" s="84" t="s">
        <v>470</v>
      </c>
    </row>
    <row r="165" spans="1:2" x14ac:dyDescent="0.15">
      <c r="A165" s="84" t="s">
        <v>439</v>
      </c>
      <c r="B165" s="84" t="s">
        <v>471</v>
      </c>
    </row>
    <row r="166" spans="1:2" x14ac:dyDescent="0.15">
      <c r="A166" s="117" t="s">
        <v>476</v>
      </c>
      <c r="B166" s="84" t="s">
        <v>478</v>
      </c>
    </row>
    <row r="167" spans="1:2" x14ac:dyDescent="0.15">
      <c r="A167" s="117" t="s">
        <v>477</v>
      </c>
      <c r="B167" s="117" t="s">
        <v>625</v>
      </c>
    </row>
    <row r="168" spans="1:2" x14ac:dyDescent="0.15">
      <c r="A168" s="117" t="s">
        <v>484</v>
      </c>
      <c r="B168" s="117" t="s">
        <v>485</v>
      </c>
    </row>
    <row r="169" spans="1:2" x14ac:dyDescent="0.15">
      <c r="A169" s="117" t="s">
        <v>506</v>
      </c>
      <c r="B169" s="117" t="s">
        <v>507</v>
      </c>
    </row>
    <row r="170" spans="1:2" ht="14" x14ac:dyDescent="0.15">
      <c r="A170" s="83" t="s">
        <v>613</v>
      </c>
      <c r="B170" s="83" t="s">
        <v>614</v>
      </c>
    </row>
    <row r="171" spans="1:2" ht="14" x14ac:dyDescent="0.15">
      <c r="A171" s="147" t="s">
        <v>495</v>
      </c>
      <c r="B171" s="147" t="s">
        <v>496</v>
      </c>
    </row>
    <row r="172" spans="1:2" ht="11.25" customHeight="1" x14ac:dyDescent="0.15">
      <c r="A172" s="147" t="s">
        <v>497</v>
      </c>
      <c r="B172" s="119" t="s">
        <v>498</v>
      </c>
    </row>
    <row r="173" spans="1:2" ht="14" x14ac:dyDescent="0.15">
      <c r="A173" s="147" t="s">
        <v>499</v>
      </c>
      <c r="B173" s="147" t="s">
        <v>500</v>
      </c>
    </row>
    <row r="174" spans="1:2" ht="14" x14ac:dyDescent="0.15">
      <c r="A174" s="147" t="s">
        <v>523</v>
      </c>
      <c r="B174" s="147" t="s">
        <v>601</v>
      </c>
    </row>
    <row r="175" spans="1:2" ht="14" x14ac:dyDescent="0.15">
      <c r="A175" s="147" t="s">
        <v>524</v>
      </c>
      <c r="B175" s="147" t="s">
        <v>602</v>
      </c>
    </row>
    <row r="176" spans="1:2" ht="14" x14ac:dyDescent="0.15">
      <c r="A176" s="147" t="s">
        <v>525</v>
      </c>
      <c r="B176" s="147" t="s">
        <v>603</v>
      </c>
    </row>
    <row r="177" spans="1:2" ht="14" x14ac:dyDescent="0.15">
      <c r="A177" s="147" t="s">
        <v>529</v>
      </c>
      <c r="B177" s="84" t="s">
        <v>604</v>
      </c>
    </row>
    <row r="178" spans="1:2" ht="14" x14ac:dyDescent="0.15">
      <c r="A178" s="147" t="s">
        <v>527</v>
      </c>
      <c r="B178" s="147" t="s">
        <v>546</v>
      </c>
    </row>
    <row r="179" spans="1:2" ht="14" x14ac:dyDescent="0.15">
      <c r="A179" s="147" t="s">
        <v>528</v>
      </c>
      <c r="B179" s="147" t="s">
        <v>547</v>
      </c>
    </row>
    <row r="180" spans="1:2" ht="14" x14ac:dyDescent="0.15">
      <c r="A180" s="147" t="s">
        <v>742</v>
      </c>
      <c r="B180" s="147" t="s">
        <v>743</v>
      </c>
    </row>
    <row r="181" spans="1:2" ht="14" x14ac:dyDescent="0.15">
      <c r="A181" s="147" t="s">
        <v>550</v>
      </c>
      <c r="B181" s="147" t="s">
        <v>605</v>
      </c>
    </row>
    <row r="182" spans="1:2" ht="28" x14ac:dyDescent="0.15">
      <c r="A182" s="147" t="s">
        <v>607</v>
      </c>
      <c r="B182" s="147" t="s">
        <v>608</v>
      </c>
    </row>
    <row r="183" spans="1:2" ht="14" x14ac:dyDescent="0.15">
      <c r="A183" s="83" t="s">
        <v>559</v>
      </c>
      <c r="B183" s="83" t="s">
        <v>218</v>
      </c>
    </row>
    <row r="184" spans="1:2" ht="14" x14ac:dyDescent="0.15">
      <c r="A184" s="83" t="s">
        <v>221</v>
      </c>
      <c r="B184" s="83" t="s">
        <v>222</v>
      </c>
    </row>
    <row r="185" spans="1:2" ht="42" x14ac:dyDescent="0.15">
      <c r="A185" s="83" t="s">
        <v>871</v>
      </c>
      <c r="B185" s="83" t="s">
        <v>872</v>
      </c>
    </row>
    <row r="186" spans="1:2" ht="28" x14ac:dyDescent="0.15">
      <c r="A186" s="83" t="s">
        <v>560</v>
      </c>
      <c r="B186" s="83" t="s">
        <v>561</v>
      </c>
    </row>
    <row r="187" spans="1:2" ht="28" x14ac:dyDescent="0.15">
      <c r="A187" s="83" t="s">
        <v>562</v>
      </c>
      <c r="B187" s="83" t="s">
        <v>563</v>
      </c>
    </row>
    <row r="188" spans="1:2" ht="42" x14ac:dyDescent="0.15">
      <c r="A188" s="83" t="s">
        <v>564</v>
      </c>
      <c r="B188" s="83" t="s">
        <v>565</v>
      </c>
    </row>
    <row r="189" spans="1:2" ht="28" x14ac:dyDescent="0.15">
      <c r="A189" s="83" t="s">
        <v>873</v>
      </c>
      <c r="B189" s="83" t="s">
        <v>874</v>
      </c>
    </row>
    <row r="190" spans="1:2" ht="42" x14ac:dyDescent="0.15">
      <c r="A190" s="83" t="s">
        <v>566</v>
      </c>
      <c r="B190" s="83" t="s">
        <v>567</v>
      </c>
    </row>
    <row r="191" spans="1:2" ht="14" x14ac:dyDescent="0.15">
      <c r="A191" s="83" t="s">
        <v>568</v>
      </c>
      <c r="B191" s="83" t="s">
        <v>568</v>
      </c>
    </row>
    <row r="192" spans="1:2" ht="14" x14ac:dyDescent="0.15">
      <c r="A192" s="83" t="s">
        <v>569</v>
      </c>
      <c r="B192" s="83" t="s">
        <v>570</v>
      </c>
    </row>
    <row r="193" spans="1:2" ht="14" x14ac:dyDescent="0.15">
      <c r="A193" s="83" t="s">
        <v>365</v>
      </c>
      <c r="B193" s="83" t="s">
        <v>571</v>
      </c>
    </row>
    <row r="194" spans="1:2" ht="14" x14ac:dyDescent="0.15">
      <c r="A194" s="182" t="s">
        <v>572</v>
      </c>
      <c r="B194" s="182" t="s">
        <v>573</v>
      </c>
    </row>
    <row r="195" spans="1:2" ht="14" x14ac:dyDescent="0.15">
      <c r="A195" s="147" t="s">
        <v>574</v>
      </c>
      <c r="B195" s="147" t="s">
        <v>575</v>
      </c>
    </row>
    <row r="196" spans="1:2" ht="14" x14ac:dyDescent="0.15">
      <c r="A196" s="147" t="s">
        <v>576</v>
      </c>
      <c r="B196" s="147" t="s">
        <v>577</v>
      </c>
    </row>
    <row r="197" spans="1:2" ht="14" x14ac:dyDescent="0.15">
      <c r="A197" s="147" t="s">
        <v>578</v>
      </c>
      <c r="B197" s="147" t="s">
        <v>579</v>
      </c>
    </row>
    <row r="198" spans="1:2" ht="14" x14ac:dyDescent="0.15">
      <c r="A198" s="147" t="s">
        <v>580</v>
      </c>
      <c r="B198" s="147" t="s">
        <v>581</v>
      </c>
    </row>
    <row r="199" spans="1:2" ht="14" x14ac:dyDescent="0.15">
      <c r="A199" s="147" t="s">
        <v>834</v>
      </c>
      <c r="B199" s="147" t="s">
        <v>835</v>
      </c>
    </row>
    <row r="200" spans="1:2" ht="14" x14ac:dyDescent="0.15">
      <c r="A200" s="147" t="s">
        <v>836</v>
      </c>
      <c r="B200" s="147" t="s">
        <v>837</v>
      </c>
    </row>
    <row r="201" spans="1:2" ht="14" x14ac:dyDescent="0.15">
      <c r="A201" s="147" t="s">
        <v>838</v>
      </c>
      <c r="B201" s="147" t="s">
        <v>839</v>
      </c>
    </row>
    <row r="202" spans="1:2" ht="14" x14ac:dyDescent="0.15">
      <c r="A202" s="147" t="s">
        <v>840</v>
      </c>
      <c r="B202" s="147" t="s">
        <v>841</v>
      </c>
    </row>
    <row r="203" spans="1:2" x14ac:dyDescent="0.15">
      <c r="A203" s="84" t="s">
        <v>582</v>
      </c>
      <c r="B203" s="84" t="s">
        <v>204</v>
      </c>
    </row>
    <row r="204" spans="1:2" x14ac:dyDescent="0.15">
      <c r="A204" s="117" t="s">
        <v>136</v>
      </c>
      <c r="B204" s="117" t="s">
        <v>205</v>
      </c>
    </row>
    <row r="205" spans="1:2" x14ac:dyDescent="0.15">
      <c r="A205" s="117" t="s">
        <v>583</v>
      </c>
      <c r="B205" s="117" t="s">
        <v>585</v>
      </c>
    </row>
    <row r="206" spans="1:2" x14ac:dyDescent="0.15">
      <c r="A206" s="117" t="s">
        <v>584</v>
      </c>
      <c r="B206" s="117" t="s">
        <v>416</v>
      </c>
    </row>
    <row r="207" spans="1:2" ht="14" x14ac:dyDescent="0.15">
      <c r="A207" s="83" t="s">
        <v>569</v>
      </c>
      <c r="B207" s="83" t="s">
        <v>570</v>
      </c>
    </row>
    <row r="208" spans="1:2" ht="14" x14ac:dyDescent="0.15">
      <c r="A208" s="83" t="s">
        <v>365</v>
      </c>
      <c r="B208" s="83" t="s">
        <v>571</v>
      </c>
    </row>
    <row r="209" spans="1:2" ht="28" x14ac:dyDescent="0.15">
      <c r="A209" s="185" t="s">
        <v>586</v>
      </c>
      <c r="B209" s="185" t="s">
        <v>587</v>
      </c>
    </row>
    <row r="210" spans="1:2" x14ac:dyDescent="0.15">
      <c r="A210" s="194" t="s">
        <v>896</v>
      </c>
      <c r="B210" s="194" t="s">
        <v>899</v>
      </c>
    </row>
    <row r="211" spans="1:2" x14ac:dyDescent="0.15">
      <c r="A211" s="194" t="s">
        <v>897</v>
      </c>
      <c r="B211" s="194" t="s">
        <v>900</v>
      </c>
    </row>
    <row r="212" spans="1:2" x14ac:dyDescent="0.15">
      <c r="A212" s="194" t="s">
        <v>898</v>
      </c>
      <c r="B212" s="194" t="s">
        <v>901</v>
      </c>
    </row>
    <row r="213" spans="1:2" ht="42" x14ac:dyDescent="0.15">
      <c r="A213" s="196" t="s">
        <v>588</v>
      </c>
      <c r="B213" s="195" t="s">
        <v>589</v>
      </c>
    </row>
    <row r="214" spans="1:2" ht="42" x14ac:dyDescent="0.15">
      <c r="A214" s="196" t="s">
        <v>590</v>
      </c>
      <c r="B214" s="195" t="s">
        <v>591</v>
      </c>
    </row>
    <row r="215" spans="1:2" ht="42" x14ac:dyDescent="0.15">
      <c r="A215" s="196" t="s">
        <v>592</v>
      </c>
      <c r="B215" s="195" t="s">
        <v>593</v>
      </c>
    </row>
    <row r="216" spans="1:2" x14ac:dyDescent="0.15">
      <c r="A216" s="194" t="s">
        <v>594</v>
      </c>
      <c r="B216" s="194" t="s">
        <v>609</v>
      </c>
    </row>
    <row r="217" spans="1:2" x14ac:dyDescent="0.15">
      <c r="A217" s="194" t="s">
        <v>595</v>
      </c>
      <c r="B217" s="194" t="s">
        <v>610</v>
      </c>
    </row>
    <row r="218" spans="1:2" x14ac:dyDescent="0.15">
      <c r="A218" s="194" t="s">
        <v>596</v>
      </c>
      <c r="B218" s="194" t="s">
        <v>611</v>
      </c>
    </row>
    <row r="219" spans="1:2" x14ac:dyDescent="0.15">
      <c r="A219" s="194" t="s">
        <v>597</v>
      </c>
      <c r="B219" s="194" t="s">
        <v>606</v>
      </c>
    </row>
    <row r="220" spans="1:2" x14ac:dyDescent="0.15">
      <c r="A220" s="194" t="s">
        <v>598</v>
      </c>
      <c r="B220" s="194" t="s">
        <v>612</v>
      </c>
    </row>
    <row r="221" spans="1:2" ht="14" x14ac:dyDescent="0.15">
      <c r="A221" s="89" t="s">
        <v>599</v>
      </c>
      <c r="B221" s="83" t="s">
        <v>600</v>
      </c>
    </row>
    <row r="222" spans="1:2" ht="14" x14ac:dyDescent="0.15">
      <c r="A222" s="89" t="s">
        <v>615</v>
      </c>
      <c r="B222" s="83" t="s">
        <v>877</v>
      </c>
    </row>
    <row r="223" spans="1:2" ht="14" x14ac:dyDescent="0.15">
      <c r="A223" s="89" t="s">
        <v>618</v>
      </c>
      <c r="B223" s="83" t="s">
        <v>619</v>
      </c>
    </row>
    <row r="224" spans="1:2" x14ac:dyDescent="0.15">
      <c r="A224" s="84" t="s">
        <v>621</v>
      </c>
      <c r="B224" s="84" t="s">
        <v>622</v>
      </c>
    </row>
    <row r="225" spans="1:2" ht="42" x14ac:dyDescent="0.15">
      <c r="A225" s="83" t="s">
        <v>623</v>
      </c>
      <c r="B225" s="83" t="s">
        <v>624</v>
      </c>
    </row>
    <row r="226" spans="1:2" ht="14" x14ac:dyDescent="0.15">
      <c r="A226" s="83" t="s">
        <v>626</v>
      </c>
      <c r="B226" s="83" t="s">
        <v>627</v>
      </c>
    </row>
    <row r="227" spans="1:2" x14ac:dyDescent="0.15">
      <c r="A227" s="91" t="s">
        <v>549</v>
      </c>
      <c r="B227" s="84" t="s">
        <v>628</v>
      </c>
    </row>
    <row r="228" spans="1:2" x14ac:dyDescent="0.15">
      <c r="A228" s="91" t="s">
        <v>548</v>
      </c>
      <c r="B228" s="84" t="s">
        <v>629</v>
      </c>
    </row>
    <row r="229" spans="1:2" x14ac:dyDescent="0.15">
      <c r="A229" s="91" t="s">
        <v>630</v>
      </c>
      <c r="B229" s="84" t="s">
        <v>631</v>
      </c>
    </row>
    <row r="230" spans="1:2" x14ac:dyDescent="0.15">
      <c r="A230" s="91" t="s">
        <v>632</v>
      </c>
      <c r="B230" s="84" t="s">
        <v>633</v>
      </c>
    </row>
    <row r="231" spans="1:2" x14ac:dyDescent="0.15">
      <c r="A231" s="91" t="s">
        <v>634</v>
      </c>
      <c r="B231" s="84" t="s">
        <v>634</v>
      </c>
    </row>
    <row r="232" spans="1:2" ht="28" x14ac:dyDescent="0.15">
      <c r="A232" s="218" t="s">
        <v>636</v>
      </c>
      <c r="B232" s="147" t="s">
        <v>637</v>
      </c>
    </row>
    <row r="233" spans="1:2" x14ac:dyDescent="0.15">
      <c r="A233" s="91" t="s">
        <v>638</v>
      </c>
      <c r="B233" s="117" t="s">
        <v>639</v>
      </c>
    </row>
    <row r="234" spans="1:2" ht="28" x14ac:dyDescent="0.15">
      <c r="A234" s="218" t="s">
        <v>795</v>
      </c>
      <c r="B234" s="147" t="s">
        <v>641</v>
      </c>
    </row>
    <row r="235" spans="1:2" ht="14" x14ac:dyDescent="0.15">
      <c r="A235" s="218" t="s">
        <v>714</v>
      </c>
      <c r="B235" s="147" t="s">
        <v>713</v>
      </c>
    </row>
    <row r="236" spans="1:2" ht="14" x14ac:dyDescent="0.15">
      <c r="A236" s="218" t="s">
        <v>773</v>
      </c>
      <c r="B236" s="147" t="s">
        <v>715</v>
      </c>
    </row>
    <row r="237" spans="1:2" ht="14" x14ac:dyDescent="0.15">
      <c r="A237" s="218" t="s">
        <v>774</v>
      </c>
      <c r="B237" s="147" t="s">
        <v>718</v>
      </c>
    </row>
    <row r="238" spans="1:2" ht="14" x14ac:dyDescent="0.15">
      <c r="A238" s="218" t="s">
        <v>775</v>
      </c>
      <c r="B238" s="147" t="s">
        <v>717</v>
      </c>
    </row>
    <row r="239" spans="1:2" ht="14" x14ac:dyDescent="0.15">
      <c r="A239" s="218" t="s">
        <v>777</v>
      </c>
      <c r="B239" s="147" t="s">
        <v>716</v>
      </c>
    </row>
    <row r="240" spans="1:2" ht="14" x14ac:dyDescent="0.15">
      <c r="A240" s="218" t="s">
        <v>993</v>
      </c>
      <c r="B240" s="147" t="s">
        <v>994</v>
      </c>
    </row>
    <row r="241" spans="1:2" ht="14" x14ac:dyDescent="0.15">
      <c r="A241" s="218" t="s">
        <v>996</v>
      </c>
      <c r="B241" s="147" t="s">
        <v>995</v>
      </c>
    </row>
    <row r="242" spans="1:2" ht="14" x14ac:dyDescent="0.15">
      <c r="A242" s="218" t="s">
        <v>766</v>
      </c>
      <c r="B242" s="147" t="s">
        <v>724</v>
      </c>
    </row>
    <row r="243" spans="1:2" ht="14" x14ac:dyDescent="0.15">
      <c r="A243" s="218" t="s">
        <v>765</v>
      </c>
      <c r="B243" s="147" t="s">
        <v>725</v>
      </c>
    </row>
    <row r="244" spans="1:2" ht="14" x14ac:dyDescent="0.15">
      <c r="A244" s="218" t="s">
        <v>770</v>
      </c>
      <c r="B244" s="147" t="s">
        <v>726</v>
      </c>
    </row>
    <row r="245" spans="1:2" ht="14" x14ac:dyDescent="0.15">
      <c r="A245" s="218" t="s">
        <v>767</v>
      </c>
      <c r="B245" s="147" t="s">
        <v>727</v>
      </c>
    </row>
    <row r="246" spans="1:2" ht="14" x14ac:dyDescent="0.15">
      <c r="A246" s="218" t="s">
        <v>771</v>
      </c>
      <c r="B246" s="147" t="s">
        <v>728</v>
      </c>
    </row>
    <row r="247" spans="1:2" ht="14" x14ac:dyDescent="0.15">
      <c r="A247" s="218" t="s">
        <v>768</v>
      </c>
      <c r="B247" s="147" t="s">
        <v>729</v>
      </c>
    </row>
    <row r="248" spans="1:2" ht="14" x14ac:dyDescent="0.15">
      <c r="A248" s="218" t="s">
        <v>772</v>
      </c>
      <c r="B248" s="147" t="s">
        <v>730</v>
      </c>
    </row>
    <row r="249" spans="1:2" ht="14" x14ac:dyDescent="0.15">
      <c r="A249" s="218" t="s">
        <v>769</v>
      </c>
      <c r="B249" s="147" t="s">
        <v>731</v>
      </c>
    </row>
    <row r="250" spans="1:2" ht="14" x14ac:dyDescent="0.15">
      <c r="A250" s="218" t="s">
        <v>793</v>
      </c>
      <c r="B250" s="147" t="s">
        <v>794</v>
      </c>
    </row>
    <row r="251" spans="1:2" ht="14" x14ac:dyDescent="0.15">
      <c r="A251" s="218" t="s">
        <v>811</v>
      </c>
      <c r="B251" s="147" t="s">
        <v>813</v>
      </c>
    </row>
    <row r="252" spans="1:2" ht="14" x14ac:dyDescent="0.15">
      <c r="A252" s="218" t="s">
        <v>812</v>
      </c>
      <c r="B252" s="147" t="s">
        <v>814</v>
      </c>
    </row>
    <row r="253" spans="1:2" ht="14" x14ac:dyDescent="0.15">
      <c r="A253" s="218" t="s">
        <v>778</v>
      </c>
      <c r="B253" s="147" t="s">
        <v>719</v>
      </c>
    </row>
    <row r="254" spans="1:2" s="119" customFormat="1" x14ac:dyDescent="0.15">
      <c r="A254" s="84" t="s">
        <v>815</v>
      </c>
      <c r="B254" s="84" t="s">
        <v>819</v>
      </c>
    </row>
    <row r="255" spans="1:2" s="119" customFormat="1" x14ac:dyDescent="0.15">
      <c r="A255" s="84" t="s">
        <v>817</v>
      </c>
      <c r="B255" s="84" t="s">
        <v>821</v>
      </c>
    </row>
    <row r="256" spans="1:2" s="119" customFormat="1" x14ac:dyDescent="0.15">
      <c r="A256" s="84" t="s">
        <v>816</v>
      </c>
      <c r="B256" s="84" t="s">
        <v>820</v>
      </c>
    </row>
    <row r="257" spans="1:2" s="119" customFormat="1" x14ac:dyDescent="0.15">
      <c r="A257" s="84" t="s">
        <v>818</v>
      </c>
      <c r="B257" s="84" t="s">
        <v>822</v>
      </c>
    </row>
    <row r="258" spans="1:2" s="119" customFormat="1" x14ac:dyDescent="0.15">
      <c r="A258" s="84" t="s">
        <v>776</v>
      </c>
      <c r="B258" s="84" t="s">
        <v>720</v>
      </c>
    </row>
    <row r="259" spans="1:2" s="119" customFormat="1" x14ac:dyDescent="0.15">
      <c r="A259" s="84" t="s">
        <v>922</v>
      </c>
      <c r="B259" s="84" t="s">
        <v>926</v>
      </c>
    </row>
    <row r="260" spans="1:2" s="119" customFormat="1" x14ac:dyDescent="0.15">
      <c r="A260" s="84" t="s">
        <v>923</v>
      </c>
      <c r="B260" s="84" t="s">
        <v>927</v>
      </c>
    </row>
    <row r="261" spans="1:2" s="119" customFormat="1" x14ac:dyDescent="0.15">
      <c r="A261" s="84" t="s">
        <v>924</v>
      </c>
      <c r="B261" s="84" t="s">
        <v>925</v>
      </c>
    </row>
    <row r="262" spans="1:2" s="119" customFormat="1" x14ac:dyDescent="0.15">
      <c r="A262" s="84" t="s">
        <v>883</v>
      </c>
      <c r="B262" s="84" t="s">
        <v>957</v>
      </c>
    </row>
    <row r="263" spans="1:2" s="119" customFormat="1" x14ac:dyDescent="0.15">
      <c r="A263" s="84" t="s">
        <v>884</v>
      </c>
      <c r="B263" s="84" t="s">
        <v>958</v>
      </c>
    </row>
    <row r="264" spans="1:2" s="119" customFormat="1" x14ac:dyDescent="0.15">
      <c r="A264" s="84" t="s">
        <v>885</v>
      </c>
      <c r="B264" s="84" t="s">
        <v>959</v>
      </c>
    </row>
    <row r="265" spans="1:2" s="119" customFormat="1" x14ac:dyDescent="0.15">
      <c r="A265" s="84" t="s">
        <v>886</v>
      </c>
      <c r="B265" s="84" t="s">
        <v>960</v>
      </c>
    </row>
    <row r="266" spans="1:2" s="119" customFormat="1" x14ac:dyDescent="0.15">
      <c r="A266" s="84" t="s">
        <v>887</v>
      </c>
      <c r="B266" s="84" t="s">
        <v>961</v>
      </c>
    </row>
    <row r="267" spans="1:2" s="119" customFormat="1" x14ac:dyDescent="0.15">
      <c r="A267" s="84" t="s">
        <v>888</v>
      </c>
      <c r="B267" s="84" t="s">
        <v>962</v>
      </c>
    </row>
    <row r="268" spans="1:2" s="119" customFormat="1" x14ac:dyDescent="0.15">
      <c r="A268" s="84" t="s">
        <v>889</v>
      </c>
      <c r="B268" s="84" t="s">
        <v>963</v>
      </c>
    </row>
    <row r="269" spans="1:2" s="119" customFormat="1" x14ac:dyDescent="0.15">
      <c r="A269" s="84" t="s">
        <v>890</v>
      </c>
      <c r="B269" s="84" t="s">
        <v>964</v>
      </c>
    </row>
    <row r="270" spans="1:2" s="119" customFormat="1" x14ac:dyDescent="0.15">
      <c r="A270" s="84" t="s">
        <v>902</v>
      </c>
      <c r="B270" s="84" t="s">
        <v>912</v>
      </c>
    </row>
    <row r="271" spans="1:2" s="119" customFormat="1" x14ac:dyDescent="0.15">
      <c r="A271" s="84" t="s">
        <v>903</v>
      </c>
      <c r="B271" s="84" t="s">
        <v>913</v>
      </c>
    </row>
    <row r="272" spans="1:2" s="119" customFormat="1" x14ac:dyDescent="0.15">
      <c r="A272" s="84" t="s">
        <v>904</v>
      </c>
      <c r="B272" s="84" t="s">
        <v>914</v>
      </c>
    </row>
    <row r="273" spans="1:2" s="119" customFormat="1" x14ac:dyDescent="0.15">
      <c r="A273" s="84" t="s">
        <v>905</v>
      </c>
      <c r="B273" s="84" t="s">
        <v>915</v>
      </c>
    </row>
    <row r="274" spans="1:2" s="119" customFormat="1" x14ac:dyDescent="0.15">
      <c r="A274" s="84" t="s">
        <v>906</v>
      </c>
      <c r="B274" s="84" t="s">
        <v>916</v>
      </c>
    </row>
    <row r="275" spans="1:2" x14ac:dyDescent="0.15">
      <c r="A275" s="84" t="s">
        <v>907</v>
      </c>
      <c r="B275" s="84" t="s">
        <v>917</v>
      </c>
    </row>
    <row r="276" spans="1:2" x14ac:dyDescent="0.15">
      <c r="A276" s="84" t="s">
        <v>908</v>
      </c>
      <c r="B276" s="84" t="s">
        <v>918</v>
      </c>
    </row>
    <row r="277" spans="1:2" x14ac:dyDescent="0.15">
      <c r="A277" s="84" t="s">
        <v>909</v>
      </c>
      <c r="B277" s="84" t="s">
        <v>919</v>
      </c>
    </row>
    <row r="278" spans="1:2" x14ac:dyDescent="0.15">
      <c r="A278" s="84" t="s">
        <v>910</v>
      </c>
      <c r="B278" s="84" t="s">
        <v>920</v>
      </c>
    </row>
    <row r="279" spans="1:2" x14ac:dyDescent="0.15">
      <c r="A279" s="84" t="s">
        <v>911</v>
      </c>
      <c r="B279" s="84" t="s">
        <v>921</v>
      </c>
    </row>
    <row r="280" spans="1:2" x14ac:dyDescent="0.15">
      <c r="A280" s="84" t="s">
        <v>965</v>
      </c>
      <c r="B280" s="84" t="s">
        <v>966</v>
      </c>
    </row>
    <row r="281" spans="1:2" x14ac:dyDescent="0.15">
      <c r="A281" s="84" t="s">
        <v>967</v>
      </c>
      <c r="B281" s="84" t="s">
        <v>968</v>
      </c>
    </row>
    <row r="282" spans="1:2" x14ac:dyDescent="0.15">
      <c r="A282" s="117" t="s">
        <v>723</v>
      </c>
      <c r="B282" s="117" t="s">
        <v>796</v>
      </c>
    </row>
    <row r="283" spans="1:2" ht="42" x14ac:dyDescent="0.15">
      <c r="A283" s="147" t="s">
        <v>880</v>
      </c>
      <c r="B283" s="147" t="s">
        <v>881</v>
      </c>
    </row>
    <row r="284" spans="1:2" x14ac:dyDescent="0.15">
      <c r="A284" s="117" t="s">
        <v>708</v>
      </c>
      <c r="B284" s="117" t="s">
        <v>733</v>
      </c>
    </row>
    <row r="285" spans="1:2" x14ac:dyDescent="0.15">
      <c r="A285" s="117" t="s">
        <v>732</v>
      </c>
      <c r="B285" s="117" t="s">
        <v>734</v>
      </c>
    </row>
    <row r="286" spans="1:2" x14ac:dyDescent="0.15">
      <c r="A286" s="117" t="s">
        <v>738</v>
      </c>
      <c r="B286" s="117" t="s">
        <v>735</v>
      </c>
    </row>
    <row r="287" spans="1:2" x14ac:dyDescent="0.15">
      <c r="A287" s="117" t="s">
        <v>739</v>
      </c>
      <c r="B287" s="117" t="s">
        <v>736</v>
      </c>
    </row>
    <row r="288" spans="1:2" x14ac:dyDescent="0.15">
      <c r="A288" s="117" t="s">
        <v>740</v>
      </c>
      <c r="B288" s="117" t="s">
        <v>737</v>
      </c>
    </row>
    <row r="289" spans="1:2" x14ac:dyDescent="0.15">
      <c r="A289" s="117" t="s">
        <v>741</v>
      </c>
      <c r="B289" s="117" t="s">
        <v>709</v>
      </c>
    </row>
    <row r="290" spans="1:2" x14ac:dyDescent="0.15">
      <c r="A290" s="117" t="s">
        <v>710</v>
      </c>
      <c r="B290" s="117" t="s">
        <v>710</v>
      </c>
    </row>
    <row r="291" spans="1:2" x14ac:dyDescent="0.15">
      <c r="A291" s="117" t="s">
        <v>711</v>
      </c>
      <c r="B291" s="117" t="s">
        <v>711</v>
      </c>
    </row>
    <row r="292" spans="1:2" x14ac:dyDescent="0.15">
      <c r="A292" s="117" t="s">
        <v>712</v>
      </c>
      <c r="B292" s="117" t="s">
        <v>712</v>
      </c>
    </row>
    <row r="293" spans="1:2" ht="42" x14ac:dyDescent="0.15">
      <c r="A293" s="147" t="s">
        <v>845</v>
      </c>
      <c r="B293" s="147" t="s">
        <v>876</v>
      </c>
    </row>
    <row r="294" spans="1:2" ht="28" x14ac:dyDescent="0.15">
      <c r="A294" s="147" t="s">
        <v>825</v>
      </c>
      <c r="B294" s="147" t="s">
        <v>826</v>
      </c>
    </row>
    <row r="295" spans="1:2" x14ac:dyDescent="0.15">
      <c r="A295" s="117" t="s">
        <v>759</v>
      </c>
      <c r="B295" s="117" t="s">
        <v>1001</v>
      </c>
    </row>
    <row r="296" spans="1:2" x14ac:dyDescent="0.15">
      <c r="A296" s="117" t="s">
        <v>745</v>
      </c>
      <c r="B296" s="117" t="s">
        <v>746</v>
      </c>
    </row>
    <row r="297" spans="1:2" x14ac:dyDescent="0.15">
      <c r="A297" s="117" t="s">
        <v>748</v>
      </c>
      <c r="B297" s="117" t="s">
        <v>756</v>
      </c>
    </row>
    <row r="298" spans="1:2" x14ac:dyDescent="0.15">
      <c r="A298" s="117" t="s">
        <v>749</v>
      </c>
      <c r="B298" s="117" t="s">
        <v>757</v>
      </c>
    </row>
    <row r="299" spans="1:2" x14ac:dyDescent="0.15">
      <c r="A299" s="117" t="s">
        <v>750</v>
      </c>
      <c r="B299" s="117" t="s">
        <v>755</v>
      </c>
    </row>
    <row r="300" spans="1:2" x14ac:dyDescent="0.15">
      <c r="A300" s="117" t="s">
        <v>751</v>
      </c>
      <c r="B300" s="117" t="s">
        <v>758</v>
      </c>
    </row>
    <row r="301" spans="1:2" x14ac:dyDescent="0.15">
      <c r="A301" s="117" t="s">
        <v>752</v>
      </c>
      <c r="B301" s="117" t="s">
        <v>1000</v>
      </c>
    </row>
    <row r="302" spans="1:2" x14ac:dyDescent="0.15">
      <c r="A302" s="117" t="s">
        <v>753</v>
      </c>
      <c r="B302" s="117" t="s">
        <v>754</v>
      </c>
    </row>
    <row r="303" spans="1:2" x14ac:dyDescent="0.15">
      <c r="A303" s="117" t="s">
        <v>763</v>
      </c>
      <c r="B303" s="117" t="s">
        <v>789</v>
      </c>
    </row>
    <row r="304" spans="1:2" x14ac:dyDescent="0.15">
      <c r="A304" s="117" t="s">
        <v>764</v>
      </c>
      <c r="B304" s="117" t="s">
        <v>790</v>
      </c>
    </row>
    <row r="305" spans="1:2" x14ac:dyDescent="0.15">
      <c r="A305" s="117" t="s">
        <v>829</v>
      </c>
      <c r="B305" s="117" t="s">
        <v>830</v>
      </c>
    </row>
    <row r="306" spans="1:2" x14ac:dyDescent="0.15">
      <c r="A306" s="117" t="s">
        <v>761</v>
      </c>
      <c r="B306" s="117" t="s">
        <v>783</v>
      </c>
    </row>
    <row r="307" spans="1:2" x14ac:dyDescent="0.15">
      <c r="A307" s="117" t="s">
        <v>762</v>
      </c>
      <c r="B307" s="117" t="s">
        <v>784</v>
      </c>
    </row>
    <row r="308" spans="1:2" x14ac:dyDescent="0.15">
      <c r="A308" s="117" t="s">
        <v>779</v>
      </c>
      <c r="B308" s="117" t="s">
        <v>787</v>
      </c>
    </row>
    <row r="309" spans="1:2" x14ac:dyDescent="0.15">
      <c r="A309" s="117" t="s">
        <v>780</v>
      </c>
      <c r="B309" s="117" t="s">
        <v>788</v>
      </c>
    </row>
    <row r="310" spans="1:2" x14ac:dyDescent="0.15">
      <c r="A310" s="117" t="s">
        <v>781</v>
      </c>
      <c r="B310" s="117" t="s">
        <v>785</v>
      </c>
    </row>
    <row r="311" spans="1:2" x14ac:dyDescent="0.15">
      <c r="A311" s="117" t="s">
        <v>782</v>
      </c>
      <c r="B311" s="117" t="s">
        <v>786</v>
      </c>
    </row>
    <row r="312" spans="1:2" x14ac:dyDescent="0.15">
      <c r="A312" s="117" t="s">
        <v>928</v>
      </c>
      <c r="B312" s="117" t="s">
        <v>934</v>
      </c>
    </row>
    <row r="313" spans="1:2" x14ac:dyDescent="0.15">
      <c r="A313" s="117" t="s">
        <v>929</v>
      </c>
      <c r="B313" s="117" t="s">
        <v>935</v>
      </c>
    </row>
    <row r="314" spans="1:2" x14ac:dyDescent="0.15">
      <c r="A314" s="117" t="s">
        <v>930</v>
      </c>
      <c r="B314" s="117" t="s">
        <v>932</v>
      </c>
    </row>
    <row r="315" spans="1:2" x14ac:dyDescent="0.15">
      <c r="A315" s="117" t="s">
        <v>931</v>
      </c>
      <c r="B315" s="117" t="s">
        <v>933</v>
      </c>
    </row>
    <row r="316" spans="1:2" x14ac:dyDescent="0.15">
      <c r="A316" s="117" t="s">
        <v>824</v>
      </c>
      <c r="B316" s="117" t="s">
        <v>823</v>
      </c>
    </row>
    <row r="317" spans="1:2" ht="28" x14ac:dyDescent="0.15">
      <c r="A317" s="147" t="s">
        <v>939</v>
      </c>
      <c r="B317" s="354" t="s">
        <v>936</v>
      </c>
    </row>
    <row r="318" spans="1:2" ht="28" x14ac:dyDescent="0.15">
      <c r="A318" s="147" t="s">
        <v>940</v>
      </c>
      <c r="B318" s="147" t="s">
        <v>937</v>
      </c>
    </row>
    <row r="319" spans="1:2" ht="28" x14ac:dyDescent="0.15">
      <c r="A319" s="147" t="s">
        <v>941</v>
      </c>
      <c r="B319" s="147" t="s">
        <v>938</v>
      </c>
    </row>
    <row r="320" spans="1:2" x14ac:dyDescent="0.15">
      <c r="A320" s="117" t="s">
        <v>855</v>
      </c>
      <c r="B320" s="117" t="s">
        <v>1006</v>
      </c>
    </row>
    <row r="321" spans="1:2" x14ac:dyDescent="0.15">
      <c r="A321" s="117" t="s">
        <v>852</v>
      </c>
      <c r="B321" s="117" t="s">
        <v>849</v>
      </c>
    </row>
    <row r="322" spans="1:2" x14ac:dyDescent="0.15">
      <c r="A322" s="117" t="s">
        <v>853</v>
      </c>
      <c r="B322" s="117" t="s">
        <v>850</v>
      </c>
    </row>
    <row r="323" spans="1:2" x14ac:dyDescent="0.15">
      <c r="A323" s="117" t="s">
        <v>854</v>
      </c>
      <c r="B323" s="117" t="s">
        <v>851</v>
      </c>
    </row>
    <row r="324" spans="1:2" x14ac:dyDescent="0.15">
      <c r="A324" s="117" t="s">
        <v>832</v>
      </c>
      <c r="B324" s="117" t="s">
        <v>833</v>
      </c>
    </row>
    <row r="325" spans="1:2" x14ac:dyDescent="0.15">
      <c r="A325" s="117" t="s">
        <v>843</v>
      </c>
      <c r="B325" s="117" t="s">
        <v>859</v>
      </c>
    </row>
    <row r="326" spans="1:2" x14ac:dyDescent="0.15">
      <c r="A326" s="117" t="s">
        <v>844</v>
      </c>
      <c r="B326" s="194" t="s">
        <v>858</v>
      </c>
    </row>
    <row r="327" spans="1:2" x14ac:dyDescent="0.15">
      <c r="A327" s="117" t="s">
        <v>857</v>
      </c>
      <c r="B327" s="117" t="s">
        <v>856</v>
      </c>
    </row>
    <row r="328" spans="1:2" x14ac:dyDescent="0.15">
      <c r="A328" s="117" t="s">
        <v>891</v>
      </c>
      <c r="B328" s="117" t="s">
        <v>892</v>
      </c>
    </row>
    <row r="329" spans="1:2" ht="28" x14ac:dyDescent="0.15">
      <c r="A329" s="89" t="s">
        <v>950</v>
      </c>
      <c r="B329" s="113" t="s">
        <v>952</v>
      </c>
    </row>
    <row r="330" spans="1:2" ht="28" x14ac:dyDescent="0.15">
      <c r="A330" s="89" t="s">
        <v>949</v>
      </c>
      <c r="B330" s="113" t="s">
        <v>591</v>
      </c>
    </row>
    <row r="331" spans="1:2" ht="28" x14ac:dyDescent="0.15">
      <c r="A331" s="89" t="s">
        <v>951</v>
      </c>
      <c r="B331" s="113" t="s">
        <v>953</v>
      </c>
    </row>
    <row r="332" spans="1:2" x14ac:dyDescent="0.15">
      <c r="A332" s="117" t="s">
        <v>975</v>
      </c>
      <c r="B332" s="194" t="s">
        <v>978</v>
      </c>
    </row>
    <row r="333" spans="1:2" x14ac:dyDescent="0.15">
      <c r="A333" s="117" t="s">
        <v>976</v>
      </c>
      <c r="B333" s="194" t="s">
        <v>979</v>
      </c>
    </row>
    <row r="334" spans="1:2" x14ac:dyDescent="0.15">
      <c r="A334" s="117" t="s">
        <v>977</v>
      </c>
      <c r="B334" s="194" t="s">
        <v>980</v>
      </c>
    </row>
    <row r="335" spans="1:2" ht="28" x14ac:dyDescent="0.15">
      <c r="A335" s="83" t="s">
        <v>969</v>
      </c>
      <c r="B335" s="83" t="s">
        <v>972</v>
      </c>
    </row>
    <row r="336" spans="1:2" ht="28" x14ac:dyDescent="0.15">
      <c r="A336" s="83" t="s">
        <v>970</v>
      </c>
      <c r="B336" s="83" t="s">
        <v>973</v>
      </c>
    </row>
    <row r="337" spans="1:2" ht="28" x14ac:dyDescent="0.15">
      <c r="A337" s="83" t="s">
        <v>971</v>
      </c>
      <c r="B337" s="83" t="s">
        <v>974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2"/>
  <dimension ref="A1:AN179"/>
  <sheetViews>
    <sheetView topLeftCell="T61" workbookViewId="0">
      <selection activeCell="AK143" sqref="AK143"/>
    </sheetView>
  </sheetViews>
  <sheetFormatPr baseColWidth="10" defaultColWidth="11.5" defaultRowHeight="13" x14ac:dyDescent="0.15"/>
  <cols>
    <col min="1" max="1" width="62.5" style="9" bestFit="1" customWidth="1"/>
    <col min="2" max="2" width="14.5" style="9" bestFit="1" customWidth="1"/>
    <col min="3" max="3" width="16.1640625" style="9" bestFit="1" customWidth="1"/>
    <col min="4" max="4" width="14.5" style="9" bestFit="1" customWidth="1"/>
    <col min="5" max="5" width="8.33203125" style="9" bestFit="1" customWidth="1"/>
    <col min="6" max="6" width="14.5" style="9" bestFit="1" customWidth="1"/>
    <col min="7" max="7" width="11.1640625" style="9" bestFit="1" customWidth="1"/>
    <col min="8" max="8" width="29.1640625" style="9" bestFit="1" customWidth="1"/>
    <col min="9" max="11" width="14.5" style="9" bestFit="1" customWidth="1"/>
    <col min="12" max="17" width="14.5" bestFit="1" customWidth="1"/>
    <col min="21" max="40" width="14.5" bestFit="1" customWidth="1"/>
  </cols>
  <sheetData>
    <row r="1" spans="1:12" ht="14" thickBot="1" x14ac:dyDescent="0.2">
      <c r="C1" s="9" t="s">
        <v>983</v>
      </c>
      <c r="L1" s="9"/>
    </row>
    <row r="2" spans="1:12" x14ac:dyDescent="0.15">
      <c r="A2" s="10" t="s">
        <v>142</v>
      </c>
      <c r="C2" s="34"/>
      <c r="D2" s="34" t="s">
        <v>548</v>
      </c>
      <c r="E2" s="34" t="s">
        <v>549</v>
      </c>
      <c r="L2" s="9"/>
    </row>
    <row r="3" spans="1:12" x14ac:dyDescent="0.15">
      <c r="A3" s="109" t="str">
        <f>IF(Product!$C$2=Languages!A3,Languages!A174,Languages!B174)</f>
        <v>Heavy-duty laundry detergent, Colour-safe detergent</v>
      </c>
      <c r="C3" s="34" t="s">
        <v>982</v>
      </c>
      <c r="D3" s="34" t="b">
        <f>AND(OR(Product!$I$1=Languages!$A240,Product!$I$1=Languages!$B240),(OR(Product!$C$24=Languages!$A178,Product!$C$24=Languages!$B178)))</f>
        <v>0</v>
      </c>
      <c r="E3" s="34" t="b">
        <f>AND(OR(Product!$I$1=Languages!$A240,Product!$I$1=Languages!$B240),(OR(Product!$C$24=Languages!$A179,Product!$C$24=Languages!$B179)))</f>
        <v>0</v>
      </c>
      <c r="L3" s="9"/>
    </row>
    <row r="4" spans="1:12" x14ac:dyDescent="0.15">
      <c r="A4" s="109" t="str">
        <f>IF(Product!$C$2=Languages!A3,Languages!A175,Languages!B175)</f>
        <v>Low-duty laundry detergent</v>
      </c>
      <c r="C4" s="34" t="s">
        <v>981</v>
      </c>
      <c r="D4" s="34" t="b">
        <f>AND(OR(Product!$I$1=Languages!$A241,Product!$I$1=Languages!$B241),(OR(Product!$C$24=Languages!$A178,Product!$C$24=Languages!$B178)))</f>
        <v>0</v>
      </c>
      <c r="E4" s="34" t="b">
        <f>AND(OR(Product!$I$1=Languages!$A241,Product!$I$1=Languages!$B241),(OR(Product!$C$24=Languages!$A179,Product!$C$24=Languages!$B179)))</f>
        <v>0</v>
      </c>
      <c r="L4" s="9"/>
    </row>
    <row r="5" spans="1:12" ht="14" thickBot="1" x14ac:dyDescent="0.2">
      <c r="A5" s="110" t="str">
        <f>IF(Product!$C$2=Languages!A3,Languages!A176,Languages!B176)</f>
        <v>Stain remover</v>
      </c>
      <c r="L5" s="9"/>
    </row>
    <row r="6" spans="1:12" ht="14" thickBot="1" x14ac:dyDescent="0.2">
      <c r="A6" s="167"/>
      <c r="L6" s="9"/>
    </row>
    <row r="7" spans="1:12" x14ac:dyDescent="0.15">
      <c r="A7" s="15" t="s">
        <v>526</v>
      </c>
      <c r="L7" s="9"/>
    </row>
    <row r="8" spans="1:12" x14ac:dyDescent="0.15">
      <c r="A8" s="109" t="str">
        <f>IF(Product!$C$2=Languages!A3,Languages!A178,Languages!B178)</f>
        <v>solid (powder)</v>
      </c>
      <c r="L8" s="9"/>
    </row>
    <row r="9" spans="1:12" ht="14" thickBot="1" x14ac:dyDescent="0.2">
      <c r="A9" s="110" t="str">
        <f>IF(Product!$C$2=Languages!A3,Languages!A179,Languages!B179)</f>
        <v>liquid (incl. gel)</v>
      </c>
      <c r="L9" s="9"/>
    </row>
    <row r="10" spans="1:12" ht="14" thickBot="1" x14ac:dyDescent="0.2">
      <c r="A10" s="21"/>
      <c r="L10" s="9"/>
    </row>
    <row r="11" spans="1:12" x14ac:dyDescent="0.15">
      <c r="A11" s="15" t="s">
        <v>143</v>
      </c>
      <c r="L11" s="9"/>
    </row>
    <row r="12" spans="1:12" x14ac:dyDescent="0.15">
      <c r="A12" s="11" t="s">
        <v>27</v>
      </c>
      <c r="L12" s="9"/>
    </row>
    <row r="13" spans="1:12" ht="14" thickBot="1" x14ac:dyDescent="0.2">
      <c r="A13" s="13" t="s">
        <v>25</v>
      </c>
      <c r="L13" s="9"/>
    </row>
    <row r="14" spans="1:12" ht="14" thickBot="1" x14ac:dyDescent="0.2">
      <c r="L14" s="9"/>
    </row>
    <row r="15" spans="1:12" x14ac:dyDescent="0.15">
      <c r="A15" s="15" t="s">
        <v>139</v>
      </c>
      <c r="L15" s="9"/>
    </row>
    <row r="16" spans="1:12" x14ac:dyDescent="0.15">
      <c r="A16" s="11" t="str">
        <f>IF(Product!$C$2=Languages!A3,Languages!A69,Languages!B69)</f>
        <v>Surfactant</v>
      </c>
      <c r="L16" s="9"/>
    </row>
    <row r="17" spans="1:12" x14ac:dyDescent="0.15">
      <c r="A17" s="11" t="str">
        <f>IF(Product!$C$2=Languages!A3,Languages!A68,Languages!B68)</f>
        <v>Other</v>
      </c>
      <c r="L17" s="9"/>
    </row>
    <row r="18" spans="1:12" x14ac:dyDescent="0.15">
      <c r="A18" s="11" t="str">
        <f>IF(Product!$C$2=Languages!A3,Languages!A62,Languages!B62)</f>
        <v>Biocide</v>
      </c>
      <c r="L18" s="9"/>
    </row>
    <row r="19" spans="1:12" x14ac:dyDescent="0.15">
      <c r="A19" s="11" t="str">
        <f>IF(Product!$C$2=Languages!A3,Languages!A63,Languages!B63)</f>
        <v>Fragrances</v>
      </c>
      <c r="L19" s="9"/>
    </row>
    <row r="20" spans="1:12" x14ac:dyDescent="0.15">
      <c r="A20" s="11" t="str">
        <f>IF(Product!$C$2=Languages!A3,Languages!A64,Languages!B64)</f>
        <v>Colouring agent</v>
      </c>
      <c r="L20" s="9"/>
    </row>
    <row r="21" spans="1:12" x14ac:dyDescent="0.15">
      <c r="A21" s="11" t="str">
        <f>IF(Product!$C$2=Languages!A3,Languages!A65,Languages!B65)</f>
        <v>Enzyme</v>
      </c>
      <c r="L21" s="9"/>
    </row>
    <row r="22" spans="1:12" ht="14" thickBot="1" x14ac:dyDescent="0.2">
      <c r="A22" s="13" t="str">
        <f>IF(Product!$C$2=Languages!A3,Languages!A226,Languages!B226)</f>
        <v>Microorganisms</v>
      </c>
      <c r="L22" s="9"/>
    </row>
    <row r="23" spans="1:12" ht="14" thickBot="1" x14ac:dyDescent="0.2">
      <c r="L23" s="9"/>
    </row>
    <row r="24" spans="1:12" x14ac:dyDescent="0.15">
      <c r="A24" s="10" t="s">
        <v>225</v>
      </c>
      <c r="L24" s="9"/>
    </row>
    <row r="25" spans="1:12" x14ac:dyDescent="0.15">
      <c r="A25" s="11" t="str">
        <f>IF(Product!$C$2=Languages!A3,Languages!A227,Languages!B227)</f>
        <v>Liquid</v>
      </c>
      <c r="L25" s="9"/>
    </row>
    <row r="26" spans="1:12" x14ac:dyDescent="0.15">
      <c r="A26" s="11" t="str">
        <f>IF(Product!$C$2=Languages!A3,Languages!A228,Languages!B228)</f>
        <v>Solid</v>
      </c>
      <c r="L26" s="9"/>
    </row>
    <row r="27" spans="1:12" x14ac:dyDescent="0.15">
      <c r="A27" s="11" t="str">
        <f>IF(Product!$C$2=Languages!A3,Languages!A229,Languages!B229)</f>
        <v>solved</v>
      </c>
      <c r="L27" s="9"/>
    </row>
    <row r="28" spans="1:12" x14ac:dyDescent="0.15">
      <c r="A28" s="11" t="str">
        <f>IF(Product!$C$2=Languages!A3,Languages!A230,Languages!B230)</f>
        <v>Solid (dispersed)</v>
      </c>
      <c r="L28" s="9"/>
    </row>
    <row r="29" spans="1:12" ht="14" thickBot="1" x14ac:dyDescent="0.2">
      <c r="A29" s="13" t="str">
        <f>IF(Product!$C$2=Languages!A3,Languages!A231,Languages!B231)</f>
        <v>(nano)</v>
      </c>
      <c r="L29" s="9"/>
    </row>
    <row r="30" spans="1:12" x14ac:dyDescent="0.15">
      <c r="L30" s="9"/>
    </row>
    <row r="31" spans="1:12" ht="14" thickBot="1" x14ac:dyDescent="0.2">
      <c r="L31" s="9"/>
    </row>
    <row r="32" spans="1:12" x14ac:dyDescent="0.15">
      <c r="A32" s="15" t="s">
        <v>141</v>
      </c>
      <c r="L32" s="9"/>
    </row>
    <row r="33" spans="1:12" x14ac:dyDescent="0.15">
      <c r="A33" s="11" t="s">
        <v>24</v>
      </c>
      <c r="L33" s="9"/>
    </row>
    <row r="34" spans="1:12" x14ac:dyDescent="0.15">
      <c r="A34" s="11" t="s">
        <v>28</v>
      </c>
      <c r="L34" s="9"/>
    </row>
    <row r="35" spans="1:12" x14ac:dyDescent="0.15">
      <c r="A35" s="11" t="s">
        <v>35</v>
      </c>
      <c r="L35" s="9"/>
    </row>
    <row r="36" spans="1:12" x14ac:dyDescent="0.15">
      <c r="A36" s="11" t="s">
        <v>26</v>
      </c>
      <c r="L36" s="9"/>
    </row>
    <row r="37" spans="1:12" ht="14" thickBot="1" x14ac:dyDescent="0.2">
      <c r="A37" s="13" t="s">
        <v>45</v>
      </c>
      <c r="L37" s="9"/>
    </row>
    <row r="38" spans="1:12" ht="14" thickBot="1" x14ac:dyDescent="0.2">
      <c r="L38" s="9"/>
    </row>
    <row r="39" spans="1:12" x14ac:dyDescent="0.15">
      <c r="A39" s="15" t="s">
        <v>145</v>
      </c>
      <c r="L39" s="9"/>
    </row>
    <row r="40" spans="1:12" x14ac:dyDescent="0.15">
      <c r="A40" s="11" t="s">
        <v>27</v>
      </c>
      <c r="L40" s="9"/>
    </row>
    <row r="41" spans="1:12" x14ac:dyDescent="0.15">
      <c r="A41" s="11" t="s">
        <v>25</v>
      </c>
      <c r="L41" s="9"/>
    </row>
    <row r="42" spans="1:12" x14ac:dyDescent="0.15">
      <c r="A42" s="11" t="s">
        <v>26</v>
      </c>
      <c r="L42" s="9"/>
    </row>
    <row r="43" spans="1:12" ht="14" thickBot="1" x14ac:dyDescent="0.2">
      <c r="A43" s="13" t="s">
        <v>45</v>
      </c>
      <c r="L43" s="9"/>
    </row>
    <row r="44" spans="1:12" ht="14" thickBot="1" x14ac:dyDescent="0.2">
      <c r="L44" s="9"/>
    </row>
    <row r="45" spans="1:12" x14ac:dyDescent="0.15">
      <c r="A45" s="10" t="s">
        <v>146</v>
      </c>
      <c r="L45" s="9"/>
    </row>
    <row r="46" spans="1:12" ht="14" x14ac:dyDescent="0.2">
      <c r="A46" s="12">
        <v>0.05</v>
      </c>
      <c r="L46" s="9"/>
    </row>
    <row r="47" spans="1:12" ht="14" x14ac:dyDescent="0.2">
      <c r="A47" s="12">
        <v>0.15</v>
      </c>
      <c r="L47" s="9"/>
    </row>
    <row r="48" spans="1:12" ht="14" x14ac:dyDescent="0.2">
      <c r="A48" s="12">
        <v>0.5</v>
      </c>
      <c r="L48" s="9"/>
    </row>
    <row r="49" spans="1:12" ht="15" thickBot="1" x14ac:dyDescent="0.25">
      <c r="A49" s="14">
        <v>1</v>
      </c>
      <c r="L49" s="9"/>
    </row>
    <row r="50" spans="1:12" ht="14" thickBot="1" x14ac:dyDescent="0.2">
      <c r="L50" s="9"/>
    </row>
    <row r="51" spans="1:12" x14ac:dyDescent="0.15">
      <c r="A51" s="10" t="s">
        <v>209</v>
      </c>
      <c r="L51" s="9"/>
    </row>
    <row r="52" spans="1:12" x14ac:dyDescent="0.15">
      <c r="A52" s="85" t="s">
        <v>209</v>
      </c>
      <c r="L52" s="9"/>
    </row>
    <row r="53" spans="1:12" x14ac:dyDescent="0.15">
      <c r="A53" s="85" t="s">
        <v>210</v>
      </c>
      <c r="L53" s="9"/>
    </row>
    <row r="54" spans="1:12" ht="14" thickBot="1" x14ac:dyDescent="0.2">
      <c r="A54" s="13" t="str">
        <f>IF(Product!$C$2=Languages!A3,Languages!A106,Languages!B106)</f>
        <v>approved for foodstuff</v>
      </c>
      <c r="L54" s="9"/>
    </row>
    <row r="55" spans="1:12" ht="14" thickBot="1" x14ac:dyDescent="0.2">
      <c r="L55" s="9"/>
    </row>
    <row r="56" spans="1:12" x14ac:dyDescent="0.15">
      <c r="A56" s="10" t="s">
        <v>408</v>
      </c>
      <c r="L56" s="9"/>
    </row>
    <row r="57" spans="1:12" x14ac:dyDescent="0.15">
      <c r="A57" s="109" t="str">
        <f>IF(Product!$C$2=Languages!A3,Languages!A128,Languages!B128)</f>
        <v xml:space="preserve">Book&amp;Claim </v>
      </c>
      <c r="L57" s="9"/>
    </row>
    <row r="58" spans="1:12" ht="14" thickBot="1" x14ac:dyDescent="0.2">
      <c r="A58" s="110" t="str">
        <f>IF(Product!$C$2=Languages!A3,Languages!A129,Languages!B129)</f>
        <v>Delivery notes/Invoices (segregated or MB)</v>
      </c>
      <c r="L58" s="9"/>
    </row>
    <row r="59" spans="1:12" ht="14" thickBot="1" x14ac:dyDescent="0.2">
      <c r="A59" s="167"/>
      <c r="L59" s="9"/>
    </row>
    <row r="60" spans="1:12" x14ac:dyDescent="0.15">
      <c r="A60" s="10" t="s">
        <v>640</v>
      </c>
      <c r="L60" s="9"/>
    </row>
    <row r="61" spans="1:12" x14ac:dyDescent="0.15">
      <c r="A61" s="109" t="str">
        <f>IF(Product!$C$2=Languages!A3,Languages!A233,Languages!B233)</f>
        <v>Derogated substance</v>
      </c>
      <c r="L61" s="9"/>
    </row>
    <row r="62" spans="1:12" ht="14" thickBot="1" x14ac:dyDescent="0.2">
      <c r="A62" s="110" t="str">
        <f>IF(Product!$C$2=Languages!A3,Languages!A234,Languages!B234)</f>
        <v>Below measurement 
threshold</v>
      </c>
      <c r="L62" s="9"/>
    </row>
    <row r="63" spans="1:12" x14ac:dyDescent="0.15">
      <c r="A63" s="167"/>
      <c r="L63" s="9"/>
    </row>
    <row r="64" spans="1:12" ht="14" thickBot="1" x14ac:dyDescent="0.2">
      <c r="L64" s="9"/>
    </row>
    <row r="65" spans="1:12" x14ac:dyDescent="0.15">
      <c r="A65" s="10" t="s">
        <v>440</v>
      </c>
      <c r="L65" s="9"/>
    </row>
    <row r="66" spans="1:12" x14ac:dyDescent="0.15">
      <c r="A66" s="109" t="str">
        <f>IF(Product!$C$2=Languages!A3,Languages!A150,Languages!B150)</f>
        <v>PET - Polyethylenterephthalate</v>
      </c>
      <c r="L66" s="9"/>
    </row>
    <row r="67" spans="1:12" x14ac:dyDescent="0.15">
      <c r="A67" s="109" t="str">
        <f>IF(Product!$C$2=Languages!A3,Languages!A154,Languages!B154)</f>
        <v>PP - Polypropylene</v>
      </c>
      <c r="L67" s="9"/>
    </row>
    <row r="68" spans="1:12" ht="14" thickBot="1" x14ac:dyDescent="0.2">
      <c r="A68" s="110" t="str">
        <f>IF(Product!$C$2=Languages!A5,Languages!A149,Languages!B149)</f>
        <v>HDPE - High-density polyethylene</v>
      </c>
      <c r="L68" s="9"/>
    </row>
    <row r="69" spans="1:12" ht="14" thickBot="1" x14ac:dyDescent="0.2">
      <c r="L69" s="9"/>
    </row>
    <row r="70" spans="1:12" x14ac:dyDescent="0.15">
      <c r="A70" s="10" t="s">
        <v>430</v>
      </c>
      <c r="L70" s="9"/>
    </row>
    <row r="71" spans="1:12" x14ac:dyDescent="0.15">
      <c r="A71" s="109" t="str">
        <f>IF(Product!$C$2=Languages!A3,Languages!A155,Languages!B155)</f>
        <v>PS - Polystyrene</v>
      </c>
      <c r="L71" s="9"/>
    </row>
    <row r="72" spans="1:12" x14ac:dyDescent="0.15">
      <c r="A72" s="109" t="str">
        <f>IF(Product!$C$2=Languages!A3,Languages!A156,Languages!B156)</f>
        <v>PVC - Polyvinylchloride</v>
      </c>
      <c r="L72" s="9"/>
    </row>
    <row r="73" spans="1:12" x14ac:dyDescent="0.15">
      <c r="A73" s="109" t="str">
        <f>IF(Product!$C$2=Languages!A3,Languages!A151,Languages!B151)</f>
        <v>PETG Polyethylene terephthalate glycol-modified</v>
      </c>
      <c r="L73" s="9"/>
    </row>
    <row r="74" spans="1:12" x14ac:dyDescent="0.15">
      <c r="A74" s="109" t="str">
        <f>IF(Product!$C$2=Languages!A3,Languages!A152,Languages!B152)</f>
        <v>Any other plastic materials for sleeves/labels with D &gt;1 g/cm3</v>
      </c>
      <c r="L74" s="9"/>
    </row>
    <row r="75" spans="1:12" x14ac:dyDescent="0.15">
      <c r="A75" s="109" t="str">
        <f>IF(Product!$C$2=Languages!A3,Languages!A153,Languages!B153)</f>
        <v>Any other plastic materials for sleeves/labels with D &lt; 1 g/cm3</v>
      </c>
      <c r="L75" s="9"/>
    </row>
    <row r="76" spans="1:12" ht="14" thickBot="1" x14ac:dyDescent="0.2">
      <c r="A76" s="110" t="str">
        <f>IF(Product!$C$2=Languages!A3,Languages!A165,Languages!B165)</f>
        <v>nonexistent</v>
      </c>
      <c r="L76" s="9"/>
    </row>
    <row r="77" spans="1:12" ht="14" thickBot="1" x14ac:dyDescent="0.2">
      <c r="L77" s="9"/>
    </row>
    <row r="78" spans="1:12" x14ac:dyDescent="0.15">
      <c r="A78" s="10" t="s">
        <v>431</v>
      </c>
      <c r="L78" s="9"/>
    </row>
    <row r="79" spans="1:12" x14ac:dyDescent="0.15">
      <c r="A79" s="109" t="str">
        <f>IF(Product!$C$2=Languages!A3,Languages!A155,Languages!B155)</f>
        <v>PS - Polystyrene</v>
      </c>
      <c r="L79" s="9"/>
    </row>
    <row r="80" spans="1:12" x14ac:dyDescent="0.15">
      <c r="A80" s="109" t="str">
        <f>IF(Product!$C$2=Languages!A3,Languages!A156,Languages!B156)</f>
        <v>PVC - Polyvinylchloride</v>
      </c>
      <c r="L80" s="9"/>
    </row>
    <row r="81" spans="1:12" x14ac:dyDescent="0.15">
      <c r="A81" s="109" t="str">
        <f>IF(Product!$C$2=Languages!A3,Languages!A159,Languages!B159)</f>
        <v>Silicone, D &gt; 1 g/cm4</v>
      </c>
      <c r="L81" s="9"/>
    </row>
    <row r="82" spans="1:12" x14ac:dyDescent="0.15">
      <c r="A82" s="109" t="str">
        <f>IF(Product!$C$2=Languages!A3,Languages!A160,Languages!B160)</f>
        <v>Silicone, D &lt; 1 g/cm4</v>
      </c>
      <c r="L82" s="9"/>
    </row>
    <row r="83" spans="1:12" x14ac:dyDescent="0.15">
      <c r="A83" s="109" t="str">
        <f>IF(Product!$C$2=Languages!A3,Languages!A157,Languages!B157)</f>
        <v>Glass</v>
      </c>
      <c r="L83" s="9"/>
    </row>
    <row r="84" spans="1:12" x14ac:dyDescent="0.15">
      <c r="A84" s="109" t="str">
        <f>IF(Product!$C$2=Languages!A3,Languages!A158,Languages!B158)</f>
        <v>Metal</v>
      </c>
      <c r="L84" s="9"/>
    </row>
    <row r="85" spans="1:12" ht="14" thickBot="1" x14ac:dyDescent="0.2">
      <c r="A85" s="110" t="str">
        <f>IF(Product!$C$2=Languages!A3,Languages!A148,Languages!B148)</f>
        <v>EVA - Ethylene Vinyl Acetate</v>
      </c>
      <c r="L85" s="9"/>
    </row>
    <row r="86" spans="1:12" ht="14" thickBot="1" x14ac:dyDescent="0.2">
      <c r="L86" s="9"/>
    </row>
    <row r="87" spans="1:12" x14ac:dyDescent="0.15">
      <c r="A87" s="10" t="s">
        <v>442</v>
      </c>
      <c r="L87" s="9"/>
    </row>
    <row r="88" spans="1:12" x14ac:dyDescent="0.15">
      <c r="A88" s="109" t="str">
        <f>IF(Product!$C$2=Languages!A3,Languages!A161,Languages!B161)</f>
        <v>Polyamide</v>
      </c>
      <c r="L88" s="9"/>
    </row>
    <row r="89" spans="1:12" x14ac:dyDescent="0.15">
      <c r="A89" s="109" t="str">
        <f>IF(Product!$C$2=Languages!A3,Languages!A162,Languages!B162)</f>
        <v>EVOH - Ethylene vinyl alcohol</v>
      </c>
      <c r="L89" s="9"/>
    </row>
    <row r="90" spans="1:12" x14ac:dyDescent="0.15">
      <c r="A90" s="109" t="str">
        <f>IF(Product!$C$2=Languages!A3,Languages!A163,Languages!B163)</f>
        <v>functional polyolefins</v>
      </c>
      <c r="L90" s="9"/>
    </row>
    <row r="91" spans="1:12" x14ac:dyDescent="0.15">
      <c r="A91" s="109" t="str">
        <f>IF(Product!$C$2=Languages!A3,Languages!A164,Languages!B164)</f>
        <v>metallised and light blocking barriers</v>
      </c>
      <c r="L91" s="9"/>
    </row>
    <row r="92" spans="1:12" ht="14" thickBot="1" x14ac:dyDescent="0.2">
      <c r="A92" s="110" t="str">
        <f>IF(Product!$C$2=Languages!A3,Languages!A165,Languages!B165)</f>
        <v>nonexistent</v>
      </c>
      <c r="L92" s="9"/>
    </row>
    <row r="93" spans="1:12" ht="14" thickBot="1" x14ac:dyDescent="0.2">
      <c r="L93" s="9"/>
    </row>
    <row r="94" spans="1:12" x14ac:dyDescent="0.15">
      <c r="A94" s="15" t="s">
        <v>526</v>
      </c>
      <c r="L94" s="9"/>
    </row>
    <row r="95" spans="1:12" x14ac:dyDescent="0.15">
      <c r="A95" s="109" t="str">
        <f>IF(Product!$C$2=Languages!A3,Languages!A205,Languages!B205)</f>
        <v>Powder</v>
      </c>
      <c r="L95" s="9"/>
    </row>
    <row r="96" spans="1:12" ht="14" thickBot="1" x14ac:dyDescent="0.2">
      <c r="A96" s="110" t="str">
        <f>IF(Product!$C$2=Languages!A3,Languages!A206,Languages!B206)</f>
        <v>Other</v>
      </c>
      <c r="L96" s="9"/>
    </row>
    <row r="97" spans="1:12" ht="14" thickBot="1" x14ac:dyDescent="0.2">
      <c r="L97" s="9"/>
    </row>
    <row r="98" spans="1:12" x14ac:dyDescent="0.15">
      <c r="A98" s="10" t="s">
        <v>620</v>
      </c>
      <c r="L98" s="9"/>
    </row>
    <row r="99" spans="1:12" x14ac:dyDescent="0.15">
      <c r="A99" s="214" t="str">
        <f>IF(Product!$C$2=Languages!A3,Languages!A223,Languages!B223)</f>
        <v>no</v>
      </c>
      <c r="L99" s="9"/>
    </row>
    <row r="100" spans="1:12" x14ac:dyDescent="0.15">
      <c r="A100" s="214">
        <v>1</v>
      </c>
      <c r="L100" s="9"/>
    </row>
    <row r="101" spans="1:12" x14ac:dyDescent="0.15">
      <c r="A101" s="214">
        <v>2</v>
      </c>
      <c r="L101" s="9"/>
    </row>
    <row r="102" spans="1:12" ht="14" thickBot="1" x14ac:dyDescent="0.2">
      <c r="A102" s="215">
        <v>3</v>
      </c>
      <c r="L102" s="9"/>
    </row>
    <row r="103" spans="1:12" ht="14" thickBot="1" x14ac:dyDescent="0.2">
      <c r="L103" s="9"/>
    </row>
    <row r="104" spans="1:12" x14ac:dyDescent="0.15">
      <c r="A104" s="232" t="s">
        <v>721</v>
      </c>
      <c r="L104" s="9"/>
    </row>
    <row r="105" spans="1:12" x14ac:dyDescent="0.15">
      <c r="A105" s="233" t="str">
        <f>IF(Product!$C$2=Languages!A3,Languages!A236,Languages!B236)</f>
        <v>(2017/xxx/EU) Hard surface cleaning products</v>
      </c>
      <c r="L105" s="9"/>
    </row>
    <row r="106" spans="1:12" x14ac:dyDescent="0.15">
      <c r="A106" s="233" t="str">
        <f>IF(Product!$C$2=Languages!A3,Languages!A237,Languages!B237)</f>
        <v>(2017/xxx/EU) Hand dishwashing detergents</v>
      </c>
      <c r="L106" s="9"/>
    </row>
    <row r="107" spans="1:12" x14ac:dyDescent="0.15">
      <c r="A107" s="233" t="str">
        <f>IF(Product!$C$2=Languages!A3,Languages!A238,Languages!B238)</f>
        <v>(2017/xxx/EU) Laundry detergents</v>
      </c>
      <c r="L107" s="9"/>
    </row>
    <row r="108" spans="1:12" x14ac:dyDescent="0.15">
      <c r="A108" s="233" t="str">
        <f>IF(Product!$C$2=Languages!A3,Languages!A239,Languages!B239)</f>
        <v>(2017/xxx/EU) Dishwasher detergents</v>
      </c>
      <c r="L108" s="9"/>
    </row>
    <row r="109" spans="1:12" x14ac:dyDescent="0.15">
      <c r="A109" s="233" t="str">
        <f>IF(Product!$C$2=Languages!A3,Languages!A240,Languages!B240)</f>
        <v>(EU) 2017/1215 I&amp;I Dishwasher detergents</v>
      </c>
      <c r="L109" s="9"/>
    </row>
    <row r="110" spans="1:12" ht="14" thickBot="1" x14ac:dyDescent="0.2">
      <c r="A110" s="234" t="str">
        <f>IF(Product!$C$2=Languages!A3,Languages!A241,Languages!B241)</f>
        <v>(EU) 2017/1219 I&amp;I Laundry detergents</v>
      </c>
      <c r="L110" s="9"/>
    </row>
    <row r="111" spans="1:12" ht="14" thickBot="1" x14ac:dyDescent="0.2">
      <c r="L111" s="9"/>
    </row>
    <row r="112" spans="1:12" x14ac:dyDescent="0.15">
      <c r="A112" s="10" t="s">
        <v>722</v>
      </c>
      <c r="B112" s="243" t="s">
        <v>806</v>
      </c>
      <c r="C112" s="244" t="s">
        <v>807</v>
      </c>
      <c r="D112" s="244" t="s">
        <v>808</v>
      </c>
      <c r="E112" s="244" t="s">
        <v>805</v>
      </c>
      <c r="F112" s="261" t="s">
        <v>35</v>
      </c>
      <c r="G112" s="264" t="s">
        <v>831</v>
      </c>
      <c r="H112" s="264" t="s">
        <v>842</v>
      </c>
      <c r="L112" s="9"/>
    </row>
    <row r="113" spans="1:16" x14ac:dyDescent="0.15">
      <c r="A113" s="233" t="str">
        <f>IF(Product!$C$2=Languages!A3,Languages!A242,Languages!B242)</f>
        <v>All-purpose cleaner, RTU</v>
      </c>
      <c r="B113" s="245">
        <v>350000</v>
      </c>
      <c r="C113" s="246">
        <v>3</v>
      </c>
      <c r="D113" s="246">
        <v>55</v>
      </c>
      <c r="E113" s="246">
        <v>30</v>
      </c>
      <c r="F113" s="262">
        <v>0.02</v>
      </c>
      <c r="G113" s="281">
        <v>150</v>
      </c>
      <c r="H113" s="281" t="s">
        <v>810</v>
      </c>
      <c r="L113" s="9"/>
    </row>
    <row r="114" spans="1:16" x14ac:dyDescent="0.15">
      <c r="A114" s="233" t="str">
        <f>IF(Product!$C$2=Languages!A3,Languages!A243,Languages!B243)</f>
        <v>All-purpose cleaner, undiluted</v>
      </c>
      <c r="B114" s="245">
        <v>18000</v>
      </c>
      <c r="C114" s="246">
        <v>0.2</v>
      </c>
      <c r="D114" s="246">
        <v>0.5</v>
      </c>
      <c r="E114" s="246">
        <v>30</v>
      </c>
      <c r="F114" s="262">
        <v>0.02</v>
      </c>
      <c r="G114" s="282">
        <v>15</v>
      </c>
      <c r="H114" s="282" t="s">
        <v>810</v>
      </c>
      <c r="L114" s="9"/>
    </row>
    <row r="115" spans="1:16" x14ac:dyDescent="0.15">
      <c r="A115" s="233" t="str">
        <f>IF(Product!$C$2=Languages!A3,Languages!A244,Languages!B244)</f>
        <v>Kitchen cleaner, RTU</v>
      </c>
      <c r="B115" s="245">
        <v>600000</v>
      </c>
      <c r="C115" s="246">
        <v>5</v>
      </c>
      <c r="D115" s="246">
        <v>35</v>
      </c>
      <c r="E115" s="246">
        <v>60</v>
      </c>
      <c r="F115" s="262">
        <v>1</v>
      </c>
      <c r="G115" s="281">
        <v>150</v>
      </c>
      <c r="H115" s="281" t="s">
        <v>810</v>
      </c>
      <c r="L115" s="9"/>
    </row>
    <row r="116" spans="1:16" x14ac:dyDescent="0.15">
      <c r="A116" s="233" t="str">
        <f>IF(Product!$C$2=Languages!A3,Languages!A245,Languages!B245)</f>
        <v xml:space="preserve">Kitchen cleaner, undiluted </v>
      </c>
      <c r="B116" s="245">
        <v>45000</v>
      </c>
      <c r="C116" s="246">
        <v>0.2</v>
      </c>
      <c r="D116" s="246">
        <v>0.5</v>
      </c>
      <c r="E116" s="246">
        <v>60</v>
      </c>
      <c r="F116" s="262">
        <v>1</v>
      </c>
      <c r="G116" s="282">
        <v>15</v>
      </c>
      <c r="H116" s="282" t="s">
        <v>810</v>
      </c>
      <c r="L116" s="9"/>
    </row>
    <row r="117" spans="1:16" x14ac:dyDescent="0.15">
      <c r="A117" s="233" t="str">
        <f>IF(Product!$C$2=Languages!A3,Languages!A246,Languages!B246)</f>
        <v>Window cleaner, RTU</v>
      </c>
      <c r="B117" s="245">
        <v>48000</v>
      </c>
      <c r="C117" s="246">
        <v>2</v>
      </c>
      <c r="D117" s="246">
        <v>20</v>
      </c>
      <c r="E117" s="246">
        <v>100</v>
      </c>
      <c r="F117" s="262">
        <v>0</v>
      </c>
      <c r="G117" s="281">
        <v>150</v>
      </c>
      <c r="H117" s="281" t="s">
        <v>810</v>
      </c>
      <c r="L117" s="9"/>
    </row>
    <row r="118" spans="1:16" x14ac:dyDescent="0.15">
      <c r="A118" s="233" t="str">
        <f>IF(Product!$C$2=Languages!A3,Languages!A247,Languages!B247)</f>
        <v>Window cleaner, undiluted</v>
      </c>
      <c r="B118" s="245">
        <v>18000</v>
      </c>
      <c r="C118" s="246">
        <v>0.2</v>
      </c>
      <c r="D118" s="246">
        <v>0.5</v>
      </c>
      <c r="E118" s="246">
        <v>100</v>
      </c>
      <c r="F118" s="262">
        <v>0</v>
      </c>
      <c r="G118" s="282">
        <v>15</v>
      </c>
      <c r="H118" s="282" t="s">
        <v>810</v>
      </c>
      <c r="L118" s="9"/>
    </row>
    <row r="119" spans="1:16" x14ac:dyDescent="0.15">
      <c r="A119" s="233" t="str">
        <f>IF(Product!$C$2=Languages!A3,Languages!A248,Languages!B248)</f>
        <v>Sanitary cleaner, RTU</v>
      </c>
      <c r="B119" s="245">
        <v>600000</v>
      </c>
      <c r="C119" s="246">
        <v>5</v>
      </c>
      <c r="D119" s="246">
        <v>35</v>
      </c>
      <c r="E119" s="246">
        <v>60</v>
      </c>
      <c r="F119" s="262">
        <v>1</v>
      </c>
      <c r="G119" s="281">
        <v>150</v>
      </c>
      <c r="H119" s="281" t="s">
        <v>810</v>
      </c>
      <c r="L119" s="9"/>
    </row>
    <row r="120" spans="1:16" x14ac:dyDescent="0.15">
      <c r="A120" s="233" t="str">
        <f>IF(Product!$C$2=Languages!A3,Languages!A249,Languages!B249)</f>
        <v xml:space="preserve">Sanitary cleaner, undiluted </v>
      </c>
      <c r="B120" s="245">
        <v>45000</v>
      </c>
      <c r="C120" s="246">
        <v>0.2</v>
      </c>
      <c r="D120" s="246">
        <v>0.5</v>
      </c>
      <c r="E120" s="246">
        <v>60</v>
      </c>
      <c r="F120" s="262">
        <v>1</v>
      </c>
      <c r="G120" s="282">
        <v>15</v>
      </c>
      <c r="H120" s="282" t="s">
        <v>810</v>
      </c>
      <c r="L120" s="9"/>
    </row>
    <row r="121" spans="1:16" x14ac:dyDescent="0.15">
      <c r="A121" s="233" t="str">
        <f>IF(Product!$C$2=Languages!A3,Languages!A250,Languages!B250)</f>
        <v>Hand dishwashing detergent</v>
      </c>
      <c r="B121" s="247">
        <v>2500</v>
      </c>
      <c r="C121" s="248">
        <v>0.03</v>
      </c>
      <c r="D121" s="248">
        <v>0.08</v>
      </c>
      <c r="E121" s="249" t="s">
        <v>810</v>
      </c>
      <c r="F121" s="263">
        <v>0.08</v>
      </c>
      <c r="G121" s="282">
        <v>0.6</v>
      </c>
      <c r="H121" s="282" t="s">
        <v>810</v>
      </c>
      <c r="L121" s="9"/>
    </row>
    <row r="122" spans="1:16" x14ac:dyDescent="0.15">
      <c r="A122" s="233" t="str">
        <f>IF(Product!$C$2=Languages!A3,Languages!A251,Languages!B251)</f>
        <v>Single-function dishwasher detergents</v>
      </c>
      <c r="B122" s="247">
        <v>22500</v>
      </c>
      <c r="C122" s="248">
        <v>1</v>
      </c>
      <c r="D122" s="248">
        <v>3</v>
      </c>
      <c r="E122" s="249" t="s">
        <v>810</v>
      </c>
      <c r="F122" s="263">
        <v>0.2</v>
      </c>
      <c r="G122" s="282">
        <v>2.4</v>
      </c>
      <c r="H122" s="282">
        <v>19</v>
      </c>
      <c r="L122" s="9"/>
    </row>
    <row r="123" spans="1:16" x14ac:dyDescent="0.15">
      <c r="A123" s="233" t="str">
        <f>IF(Product!$C$2=Languages!A3,Languages!A252,Languages!B252)</f>
        <v>Multi-function dishwasher detergents</v>
      </c>
      <c r="B123" s="247">
        <v>27000</v>
      </c>
      <c r="C123" s="248">
        <v>1</v>
      </c>
      <c r="D123" s="248">
        <v>3</v>
      </c>
      <c r="E123" s="249" t="s">
        <v>810</v>
      </c>
      <c r="F123" s="263">
        <v>0.2</v>
      </c>
      <c r="G123" s="282">
        <v>2.4</v>
      </c>
      <c r="H123" s="282">
        <v>21</v>
      </c>
      <c r="L123" s="9"/>
    </row>
    <row r="124" spans="1:16" x14ac:dyDescent="0.15">
      <c r="A124" s="233" t="str">
        <f>IF(Product!$C$2=Languages!A3,Languages!A253,Languages!B253)</f>
        <v>Rinse aid</v>
      </c>
      <c r="B124" s="247">
        <v>7500</v>
      </c>
      <c r="C124" s="248">
        <v>0.15</v>
      </c>
      <c r="D124" s="248">
        <v>0.5</v>
      </c>
      <c r="E124" s="249" t="s">
        <v>810</v>
      </c>
      <c r="F124" s="263">
        <v>0.03</v>
      </c>
      <c r="G124" s="282">
        <v>1.5</v>
      </c>
      <c r="H124" s="282" t="s">
        <v>810</v>
      </c>
      <c r="L124" s="9"/>
    </row>
    <row r="125" spans="1:16" x14ac:dyDescent="0.15">
      <c r="A125" s="233" t="str">
        <f>IF(Product!$C$2=Languages!A3,Languages!A254,Languages!B254)</f>
        <v>Heavy-duty detergent, colour-safe detergent (powder/tablets)</v>
      </c>
      <c r="B125" s="247">
        <v>31500</v>
      </c>
      <c r="C125" s="248">
        <v>1</v>
      </c>
      <c r="D125" s="248">
        <v>1.1000000000000001</v>
      </c>
      <c r="E125" s="249" t="s">
        <v>810</v>
      </c>
      <c r="F125" s="263">
        <v>0.04</v>
      </c>
      <c r="G125" s="282">
        <v>1.2</v>
      </c>
      <c r="H125" s="282">
        <v>16</v>
      </c>
      <c r="L125" s="9"/>
    </row>
    <row r="126" spans="1:16" x14ac:dyDescent="0.15">
      <c r="A126" s="233" t="str">
        <f>IF(Product!$C$2=Languages!A3,Languages!A255,Languages!B255)</f>
        <v>Heavy-duty detergent, colour-safe detergent (liquid, capsules, gel)</v>
      </c>
      <c r="B126" s="247">
        <v>31500</v>
      </c>
      <c r="C126" s="248">
        <v>0.45</v>
      </c>
      <c r="D126" s="248">
        <v>0.55000000000000004</v>
      </c>
      <c r="E126" s="249" t="s">
        <v>810</v>
      </c>
      <c r="F126" s="263">
        <v>0.04</v>
      </c>
      <c r="G126" s="282">
        <v>1.4</v>
      </c>
      <c r="H126" s="282">
        <v>16</v>
      </c>
      <c r="L126" s="9"/>
    </row>
    <row r="127" spans="1:16" ht="14" thickBot="1" x14ac:dyDescent="0.2">
      <c r="A127" s="233" t="str">
        <f>IF(Product!$C$2=Languages!A3,Languages!A256,Languages!B256)</f>
        <v>Light-duty detergent  (powder/tablets)</v>
      </c>
      <c r="B127" s="247">
        <v>20000</v>
      </c>
      <c r="C127" s="248">
        <v>0.55000000000000004</v>
      </c>
      <c r="D127" s="248">
        <v>0.55000000000000004</v>
      </c>
      <c r="E127" s="249" t="s">
        <v>810</v>
      </c>
      <c r="F127" s="263">
        <v>0.04</v>
      </c>
      <c r="G127" s="282">
        <v>1.2</v>
      </c>
      <c r="H127" s="282">
        <v>16</v>
      </c>
      <c r="L127" s="9"/>
    </row>
    <row r="128" spans="1:16" ht="14" thickBot="1" x14ac:dyDescent="0.2">
      <c r="A128" s="233" t="str">
        <f>IF(Product!$C$2=Languages!A3,Languages!A257,Languages!B257)</f>
        <v>Light-duty detergent (liquid, capsules, gel)</v>
      </c>
      <c r="B128" s="247">
        <v>20000</v>
      </c>
      <c r="C128" s="248">
        <v>0.3</v>
      </c>
      <c r="D128" s="248">
        <v>0.3</v>
      </c>
      <c r="E128" s="249" t="s">
        <v>810</v>
      </c>
      <c r="F128" s="263">
        <v>0.04</v>
      </c>
      <c r="G128" s="282">
        <v>1.4</v>
      </c>
      <c r="H128" s="282">
        <v>16</v>
      </c>
      <c r="I128" s="806" t="s">
        <v>946</v>
      </c>
      <c r="J128" s="807"/>
      <c r="K128" s="807"/>
      <c r="L128" s="807"/>
      <c r="M128" s="807"/>
      <c r="N128" s="807"/>
      <c r="O128" s="807"/>
      <c r="P128" s="808"/>
    </row>
    <row r="129" spans="1:40" ht="14" thickBot="1" x14ac:dyDescent="0.2">
      <c r="A129" s="233" t="str">
        <f>IF(Product!$C$2=Languages!A3,Languages!A258,Languages!B258)</f>
        <v>Stain remover (pre-treatment only)</v>
      </c>
      <c r="B129" s="366">
        <v>3500</v>
      </c>
      <c r="C129" s="367">
        <v>0.1</v>
      </c>
      <c r="D129" s="367">
        <v>0.1</v>
      </c>
      <c r="E129" s="368" t="s">
        <v>810</v>
      </c>
      <c r="F129" s="369">
        <v>5.0000000000000001E-3</v>
      </c>
      <c r="G129" s="282">
        <v>1.2</v>
      </c>
      <c r="H129" s="356">
        <v>2.7</v>
      </c>
      <c r="I129" s="243" t="s">
        <v>806</v>
      </c>
      <c r="J129" s="244" t="s">
        <v>807</v>
      </c>
      <c r="K129" s="244" t="s">
        <v>808</v>
      </c>
      <c r="L129" s="357" t="s">
        <v>35</v>
      </c>
      <c r="M129" s="243" t="s">
        <v>806</v>
      </c>
      <c r="N129" s="244" t="s">
        <v>807</v>
      </c>
      <c r="O129" s="244" t="s">
        <v>808</v>
      </c>
      <c r="P129" s="261" t="s">
        <v>35</v>
      </c>
    </row>
    <row r="130" spans="1:40" x14ac:dyDescent="0.15">
      <c r="A130" s="233"/>
      <c r="B130" s="797" t="s">
        <v>893</v>
      </c>
      <c r="C130" s="798"/>
      <c r="D130" s="798"/>
      <c r="E130" s="798"/>
      <c r="F130" s="799"/>
      <c r="G130" s="355"/>
      <c r="H130" s="463"/>
      <c r="I130" s="800" t="s">
        <v>894</v>
      </c>
      <c r="J130" s="801"/>
      <c r="K130" s="801"/>
      <c r="L130" s="802"/>
      <c r="M130" s="800" t="s">
        <v>895</v>
      </c>
      <c r="N130" s="801"/>
      <c r="O130" s="801"/>
      <c r="P130" s="802"/>
    </row>
    <row r="131" spans="1:40" x14ac:dyDescent="0.15">
      <c r="A131" s="233" t="str">
        <f>IF(Product!$C$2=Languages!A3,Languages!A259,Languages!B259)</f>
        <v>I&amp;I DD Pre-soak</v>
      </c>
      <c r="B131" s="247">
        <v>2000</v>
      </c>
      <c r="C131" s="248">
        <v>0.4</v>
      </c>
      <c r="D131" s="248">
        <v>0.4</v>
      </c>
      <c r="E131" s="249" t="s">
        <v>810</v>
      </c>
      <c r="F131" s="363">
        <v>0.08</v>
      </c>
      <c r="G131" s="467"/>
      <c r="H131" s="469"/>
      <c r="I131" s="468">
        <v>2000</v>
      </c>
      <c r="J131" s="247">
        <v>0.4</v>
      </c>
      <c r="K131" s="248">
        <v>0.4</v>
      </c>
      <c r="L131" s="263">
        <v>0.08</v>
      </c>
      <c r="M131" s="351">
        <v>2000</v>
      </c>
      <c r="N131" s="248">
        <v>0.4</v>
      </c>
      <c r="O131" s="248">
        <v>0.4</v>
      </c>
      <c r="P131" s="263">
        <v>0.08</v>
      </c>
    </row>
    <row r="132" spans="1:40" x14ac:dyDescent="0.15">
      <c r="A132" s="233" t="str">
        <f>IF(Product!$C$2=Languages!A3,Languages!A260,Languages!B260)</f>
        <v>I&amp;I Dishwasher detergent</v>
      </c>
      <c r="B132" s="247">
        <v>3000</v>
      </c>
      <c r="C132" s="248">
        <v>0.4</v>
      </c>
      <c r="D132" s="248">
        <v>0.6</v>
      </c>
      <c r="E132" s="249" t="s">
        <v>810</v>
      </c>
      <c r="F132" s="363">
        <v>0.15</v>
      </c>
      <c r="G132" s="467"/>
      <c r="H132" s="469"/>
      <c r="I132" s="371">
        <v>5000</v>
      </c>
      <c r="J132" s="247">
        <v>0.4</v>
      </c>
      <c r="K132" s="352">
        <v>1</v>
      </c>
      <c r="L132" s="364">
        <v>0.3</v>
      </c>
      <c r="M132" s="247">
        <v>7000</v>
      </c>
      <c r="N132" s="248">
        <v>0.4</v>
      </c>
      <c r="O132" s="352">
        <v>1</v>
      </c>
      <c r="P132" s="364">
        <v>0.5</v>
      </c>
    </row>
    <row r="133" spans="1:40" x14ac:dyDescent="0.15">
      <c r="A133" s="233" t="str">
        <f>IF(Product!$C$2=Languages!A3,Languages!A261,Languages!B261)</f>
        <v>I&amp;I DD Rinse aid</v>
      </c>
      <c r="B133" s="247">
        <v>3000</v>
      </c>
      <c r="C133" s="248">
        <v>0.04</v>
      </c>
      <c r="D133" s="248">
        <v>0.04</v>
      </c>
      <c r="E133" s="249" t="s">
        <v>810</v>
      </c>
      <c r="F133" s="363">
        <v>0.02</v>
      </c>
      <c r="G133" s="467"/>
      <c r="H133" s="469"/>
      <c r="I133" s="371">
        <v>3000</v>
      </c>
      <c r="J133" s="247">
        <v>0.04</v>
      </c>
      <c r="K133" s="248">
        <v>0.04</v>
      </c>
      <c r="L133" s="363">
        <v>0.02</v>
      </c>
      <c r="M133" s="247">
        <v>3000</v>
      </c>
      <c r="N133" s="248">
        <v>0.04</v>
      </c>
      <c r="O133" s="248">
        <v>0.04</v>
      </c>
      <c r="P133" s="363">
        <v>0.02</v>
      </c>
    </row>
    <row r="134" spans="1:40" x14ac:dyDescent="0.15">
      <c r="A134" s="233" t="str">
        <f>IF(Product!$C$2=Languages!A3,Languages!A262,Languages!B262)</f>
        <v>Multi-component DD system Part 1</v>
      </c>
      <c r="B134" s="233" t="str">
        <f>IF(Product!$C$2=Languages!A3,Languages!A328,Languages!B328)</f>
        <v>Limit for sum</v>
      </c>
      <c r="C134" s="351" t="str">
        <f t="shared" ref="C134:F135" si="0">$B$134</f>
        <v>Limit for sum</v>
      </c>
      <c r="D134" s="351" t="str">
        <f t="shared" si="0"/>
        <v>Limit for sum</v>
      </c>
      <c r="E134" s="249" t="s">
        <v>810</v>
      </c>
      <c r="F134" s="358" t="str">
        <f t="shared" si="0"/>
        <v>Limit for sum</v>
      </c>
      <c r="G134" s="467"/>
      <c r="H134" s="469"/>
      <c r="I134" s="247" t="str">
        <f t="shared" ref="I134:P135" si="1">$B$134</f>
        <v>Limit for sum</v>
      </c>
      <c r="J134" s="351" t="str">
        <f t="shared" si="1"/>
        <v>Limit for sum</v>
      </c>
      <c r="K134" s="351" t="str">
        <f t="shared" si="1"/>
        <v>Limit for sum</v>
      </c>
      <c r="L134" s="358" t="str">
        <f t="shared" si="1"/>
        <v>Limit for sum</v>
      </c>
      <c r="M134" s="247" t="str">
        <f t="shared" si="1"/>
        <v>Limit for sum</v>
      </c>
      <c r="N134" s="351" t="str">
        <f t="shared" si="1"/>
        <v>Limit for sum</v>
      </c>
      <c r="O134" s="351" t="str">
        <f t="shared" si="1"/>
        <v>Limit for sum</v>
      </c>
      <c r="P134" s="358" t="str">
        <f t="shared" si="1"/>
        <v>Limit for sum</v>
      </c>
    </row>
    <row r="135" spans="1:40" x14ac:dyDescent="0.15">
      <c r="A135" s="233" t="str">
        <f>IF(Product!$C$2=Languages!A3,Languages!A263,Languages!B263)</f>
        <v>Multi-component DD system Part 2</v>
      </c>
      <c r="B135" s="247" t="str">
        <f>$B$134</f>
        <v>Limit for sum</v>
      </c>
      <c r="C135" s="351" t="str">
        <f t="shared" si="0"/>
        <v>Limit for sum</v>
      </c>
      <c r="D135" s="351" t="str">
        <f t="shared" si="0"/>
        <v>Limit for sum</v>
      </c>
      <c r="E135" s="249" t="s">
        <v>810</v>
      </c>
      <c r="F135" s="358" t="str">
        <f t="shared" si="0"/>
        <v>Limit for sum</v>
      </c>
      <c r="G135" s="467"/>
      <c r="H135" s="469"/>
      <c r="I135" s="247" t="str">
        <f t="shared" si="1"/>
        <v>Limit for sum</v>
      </c>
      <c r="J135" s="351" t="str">
        <f t="shared" si="1"/>
        <v>Limit for sum</v>
      </c>
      <c r="K135" s="351" t="str">
        <f t="shared" si="1"/>
        <v>Limit for sum</v>
      </c>
      <c r="L135" s="358" t="str">
        <f t="shared" si="1"/>
        <v>Limit for sum</v>
      </c>
      <c r="M135" s="247" t="str">
        <f t="shared" si="1"/>
        <v>Limit for sum</v>
      </c>
      <c r="N135" s="351" t="str">
        <f t="shared" si="1"/>
        <v>Limit for sum</v>
      </c>
      <c r="O135" s="351" t="str">
        <f t="shared" si="1"/>
        <v>Limit for sum</v>
      </c>
      <c r="P135" s="358" t="str">
        <f t="shared" si="1"/>
        <v>Limit for sum</v>
      </c>
    </row>
    <row r="136" spans="1:40" x14ac:dyDescent="0.15">
      <c r="A136" s="233" t="str">
        <f>IF(Product!$C$2=Languages!A3,Languages!A264,Languages!B264)</f>
        <v>Multi-component DD system Part 3</v>
      </c>
      <c r="B136" s="247" t="str">
        <f t="shared" ref="B136:F141" si="2">$B$134</f>
        <v>Limit for sum</v>
      </c>
      <c r="C136" s="351" t="str">
        <f t="shared" si="2"/>
        <v>Limit for sum</v>
      </c>
      <c r="D136" s="351" t="str">
        <f t="shared" si="2"/>
        <v>Limit for sum</v>
      </c>
      <c r="E136" s="249" t="s">
        <v>810</v>
      </c>
      <c r="F136" s="358" t="str">
        <f t="shared" si="2"/>
        <v>Limit for sum</v>
      </c>
      <c r="G136" s="467"/>
      <c r="H136" s="469"/>
      <c r="I136" s="247" t="str">
        <f t="shared" ref="I136:P141" si="3">$B$134</f>
        <v>Limit for sum</v>
      </c>
      <c r="J136" s="351" t="str">
        <f t="shared" si="3"/>
        <v>Limit for sum</v>
      </c>
      <c r="K136" s="351" t="str">
        <f t="shared" si="3"/>
        <v>Limit for sum</v>
      </c>
      <c r="L136" s="358" t="str">
        <f t="shared" si="3"/>
        <v>Limit for sum</v>
      </c>
      <c r="M136" s="247" t="str">
        <f t="shared" si="3"/>
        <v>Limit for sum</v>
      </c>
      <c r="N136" s="351" t="str">
        <f t="shared" si="3"/>
        <v>Limit for sum</v>
      </c>
      <c r="O136" s="351" t="str">
        <f t="shared" si="3"/>
        <v>Limit for sum</v>
      </c>
      <c r="P136" s="358" t="str">
        <f t="shared" si="3"/>
        <v>Limit for sum</v>
      </c>
    </row>
    <row r="137" spans="1:40" x14ac:dyDescent="0.15">
      <c r="A137" s="233" t="str">
        <f>IF(Product!$C$2=Languages!A3,Languages!A265,Languages!B265)</f>
        <v>Multi-component DD system Part 4</v>
      </c>
      <c r="B137" s="247" t="str">
        <f t="shared" si="2"/>
        <v>Limit for sum</v>
      </c>
      <c r="C137" s="351" t="str">
        <f t="shared" si="2"/>
        <v>Limit for sum</v>
      </c>
      <c r="D137" s="351" t="str">
        <f t="shared" si="2"/>
        <v>Limit for sum</v>
      </c>
      <c r="E137" s="249" t="s">
        <v>810</v>
      </c>
      <c r="F137" s="358" t="str">
        <f t="shared" si="2"/>
        <v>Limit for sum</v>
      </c>
      <c r="G137" s="467"/>
      <c r="H137" s="469"/>
      <c r="I137" s="247" t="str">
        <f t="shared" si="3"/>
        <v>Limit for sum</v>
      </c>
      <c r="J137" s="351" t="str">
        <f t="shared" si="3"/>
        <v>Limit for sum</v>
      </c>
      <c r="K137" s="351" t="str">
        <f t="shared" si="3"/>
        <v>Limit for sum</v>
      </c>
      <c r="L137" s="358" t="str">
        <f t="shared" si="3"/>
        <v>Limit for sum</v>
      </c>
      <c r="M137" s="247" t="str">
        <f t="shared" si="3"/>
        <v>Limit for sum</v>
      </c>
      <c r="N137" s="351" t="str">
        <f t="shared" si="3"/>
        <v>Limit for sum</v>
      </c>
      <c r="O137" s="351" t="str">
        <f t="shared" si="3"/>
        <v>Limit for sum</v>
      </c>
      <c r="P137" s="358" t="str">
        <f t="shared" si="3"/>
        <v>Limit for sum</v>
      </c>
    </row>
    <row r="138" spans="1:40" ht="14" thickBot="1" x14ac:dyDescent="0.2">
      <c r="A138" s="233" t="str">
        <f>IF(Product!$C$2=Languages!A3,Languages!A266,Languages!B266)</f>
        <v>Multi-component DD system Part 5</v>
      </c>
      <c r="B138" s="247" t="str">
        <f t="shared" si="2"/>
        <v>Limit for sum</v>
      </c>
      <c r="C138" s="351" t="str">
        <f t="shared" si="2"/>
        <v>Limit for sum</v>
      </c>
      <c r="D138" s="351" t="str">
        <f t="shared" si="2"/>
        <v>Limit for sum</v>
      </c>
      <c r="E138" s="249" t="s">
        <v>810</v>
      </c>
      <c r="F138" s="358" t="str">
        <f t="shared" si="2"/>
        <v>Limit for sum</v>
      </c>
      <c r="G138" s="467"/>
      <c r="H138" s="469"/>
      <c r="I138" s="247" t="str">
        <f t="shared" si="3"/>
        <v>Limit for sum</v>
      </c>
      <c r="J138" s="351" t="str">
        <f t="shared" si="3"/>
        <v>Limit for sum</v>
      </c>
      <c r="K138" s="351" t="str">
        <f t="shared" si="3"/>
        <v>Limit for sum</v>
      </c>
      <c r="L138" s="358" t="str">
        <f t="shared" si="3"/>
        <v>Limit for sum</v>
      </c>
      <c r="M138" s="247" t="str">
        <f t="shared" si="3"/>
        <v>Limit for sum</v>
      </c>
      <c r="N138" s="351" t="str">
        <f t="shared" si="3"/>
        <v>Limit for sum</v>
      </c>
      <c r="O138" s="351" t="str">
        <f t="shared" si="3"/>
        <v>Limit for sum</v>
      </c>
      <c r="P138" s="358" t="str">
        <f t="shared" si="3"/>
        <v>Limit for sum</v>
      </c>
    </row>
    <row r="139" spans="1:40" ht="14" thickBot="1" x14ac:dyDescent="0.2">
      <c r="A139" s="233" t="str">
        <f>IF(Product!$C$2=Languages!A3,Languages!A267,Languages!B267)</f>
        <v>Multi-component DD system Part 6</v>
      </c>
      <c r="B139" s="247" t="str">
        <f t="shared" si="2"/>
        <v>Limit for sum</v>
      </c>
      <c r="C139" s="351" t="str">
        <f t="shared" si="2"/>
        <v>Limit for sum</v>
      </c>
      <c r="D139" s="351" t="str">
        <f t="shared" si="2"/>
        <v>Limit for sum</v>
      </c>
      <c r="E139" s="249" t="s">
        <v>810</v>
      </c>
      <c r="F139" s="358" t="str">
        <f t="shared" si="2"/>
        <v>Limit for sum</v>
      </c>
      <c r="G139" s="467"/>
      <c r="H139" s="469"/>
      <c r="I139" s="247" t="str">
        <f t="shared" si="3"/>
        <v>Limit for sum</v>
      </c>
      <c r="J139" s="351" t="str">
        <f t="shared" si="3"/>
        <v>Limit for sum</v>
      </c>
      <c r="K139" s="351" t="str">
        <f t="shared" si="3"/>
        <v>Limit for sum</v>
      </c>
      <c r="L139" s="358" t="str">
        <f t="shared" si="3"/>
        <v>Limit for sum</v>
      </c>
      <c r="M139" s="247" t="str">
        <f t="shared" si="3"/>
        <v>Limit for sum</v>
      </c>
      <c r="N139" s="351" t="str">
        <f t="shared" si="3"/>
        <v>Limit for sum</v>
      </c>
      <c r="O139" s="351" t="str">
        <f t="shared" si="3"/>
        <v>Limit for sum</v>
      </c>
      <c r="P139" s="358" t="str">
        <f t="shared" si="3"/>
        <v>Limit for sum</v>
      </c>
      <c r="Q139" s="803" t="s">
        <v>944</v>
      </c>
      <c r="R139" s="804"/>
      <c r="S139" s="804"/>
      <c r="T139" s="804"/>
      <c r="U139" s="804"/>
      <c r="V139" s="804"/>
      <c r="W139" s="804"/>
      <c r="X139" s="804"/>
      <c r="Y139" s="804"/>
      <c r="Z139" s="804"/>
      <c r="AA139" s="804"/>
      <c r="AB139" s="805"/>
      <c r="AC139" s="803" t="s">
        <v>945</v>
      </c>
      <c r="AD139" s="804"/>
      <c r="AE139" s="804"/>
      <c r="AF139" s="804"/>
      <c r="AG139" s="804"/>
      <c r="AH139" s="804"/>
      <c r="AI139" s="804"/>
      <c r="AJ139" s="804"/>
      <c r="AK139" s="804"/>
      <c r="AL139" s="804"/>
      <c r="AM139" s="804"/>
      <c r="AN139" s="805"/>
    </row>
    <row r="140" spans="1:40" x14ac:dyDescent="0.15">
      <c r="A140" s="233" t="str">
        <f>IF(Product!$C$2=Languages!A3,Languages!A268,Languages!B268)</f>
        <v>Multi-component DD system Part 7</v>
      </c>
      <c r="B140" s="247" t="str">
        <f t="shared" si="2"/>
        <v>Limit for sum</v>
      </c>
      <c r="C140" s="351" t="str">
        <f t="shared" si="2"/>
        <v>Limit for sum</v>
      </c>
      <c r="D140" s="351" t="str">
        <f t="shared" si="2"/>
        <v>Limit for sum</v>
      </c>
      <c r="E140" s="249" t="s">
        <v>810</v>
      </c>
      <c r="F140" s="358" t="str">
        <f t="shared" si="2"/>
        <v>Limit for sum</v>
      </c>
      <c r="G140" s="467"/>
      <c r="H140" s="469"/>
      <c r="I140" s="247" t="str">
        <f t="shared" si="3"/>
        <v>Limit for sum</v>
      </c>
      <c r="J140" s="351" t="str">
        <f t="shared" si="3"/>
        <v>Limit for sum</v>
      </c>
      <c r="K140" s="351" t="str">
        <f t="shared" si="3"/>
        <v>Limit for sum</v>
      </c>
      <c r="L140" s="358" t="str">
        <f t="shared" si="3"/>
        <v>Limit for sum</v>
      </c>
      <c r="M140" s="247" t="str">
        <f t="shared" si="3"/>
        <v>Limit for sum</v>
      </c>
      <c r="N140" s="351" t="str">
        <f t="shared" si="3"/>
        <v>Limit for sum</v>
      </c>
      <c r="O140" s="351" t="str">
        <f t="shared" si="3"/>
        <v>Limit for sum</v>
      </c>
      <c r="P140" s="358" t="str">
        <f t="shared" si="3"/>
        <v>Limit for sum</v>
      </c>
      <c r="Q140" s="243" t="s">
        <v>806</v>
      </c>
      <c r="R140" s="244" t="s">
        <v>807</v>
      </c>
      <c r="S140" s="244" t="s">
        <v>808</v>
      </c>
      <c r="T140" s="357" t="s">
        <v>35</v>
      </c>
      <c r="U140" s="243" t="s">
        <v>806</v>
      </c>
      <c r="V140" s="244" t="s">
        <v>807</v>
      </c>
      <c r="W140" s="244" t="s">
        <v>808</v>
      </c>
      <c r="X140" s="357" t="s">
        <v>35</v>
      </c>
      <c r="Y140" s="243" t="s">
        <v>806</v>
      </c>
      <c r="Z140" s="244" t="s">
        <v>807</v>
      </c>
      <c r="AA140" s="244" t="s">
        <v>808</v>
      </c>
      <c r="AB140" s="357" t="s">
        <v>35</v>
      </c>
      <c r="AC140" s="243" t="s">
        <v>806</v>
      </c>
      <c r="AD140" s="244" t="s">
        <v>807</v>
      </c>
      <c r="AE140" s="244" t="s">
        <v>808</v>
      </c>
      <c r="AF140" s="357" t="s">
        <v>35</v>
      </c>
      <c r="AG140" s="243" t="s">
        <v>806</v>
      </c>
      <c r="AH140" s="244" t="s">
        <v>807</v>
      </c>
      <c r="AI140" s="244" t="s">
        <v>808</v>
      </c>
      <c r="AJ140" s="357" t="s">
        <v>35</v>
      </c>
      <c r="AK140" s="243" t="s">
        <v>806</v>
      </c>
      <c r="AL140" s="244" t="s">
        <v>807</v>
      </c>
      <c r="AM140" s="244" t="s">
        <v>808</v>
      </c>
      <c r="AN140" s="357" t="s">
        <v>35</v>
      </c>
    </row>
    <row r="141" spans="1:40" x14ac:dyDescent="0.15">
      <c r="A141" s="233" t="str">
        <f>IF(Product!$C$2=Languages!A3,Languages!A269,Languages!B269)</f>
        <v>Multi-component DD system Part 8</v>
      </c>
      <c r="B141" s="247" t="str">
        <f t="shared" si="2"/>
        <v>Limit for sum</v>
      </c>
      <c r="C141" s="351" t="str">
        <f t="shared" si="2"/>
        <v>Limit for sum</v>
      </c>
      <c r="D141" s="351" t="str">
        <f t="shared" si="2"/>
        <v>Limit for sum</v>
      </c>
      <c r="E141" s="249" t="s">
        <v>810</v>
      </c>
      <c r="F141" s="358" t="str">
        <f t="shared" si="2"/>
        <v>Limit for sum</v>
      </c>
      <c r="G141" s="467"/>
      <c r="H141" s="469"/>
      <c r="I141" s="247" t="str">
        <f t="shared" si="3"/>
        <v>Limit for sum</v>
      </c>
      <c r="J141" s="351" t="str">
        <f t="shared" si="3"/>
        <v>Limit for sum</v>
      </c>
      <c r="K141" s="351" t="str">
        <f t="shared" si="3"/>
        <v>Limit for sum</v>
      </c>
      <c r="L141" s="358" t="str">
        <f t="shared" si="3"/>
        <v>Limit for sum</v>
      </c>
      <c r="M141" s="247" t="str">
        <f t="shared" si="3"/>
        <v>Limit for sum</v>
      </c>
      <c r="N141" s="351" t="str">
        <f t="shared" si="3"/>
        <v>Limit for sum</v>
      </c>
      <c r="O141" s="351" t="str">
        <f t="shared" si="3"/>
        <v>Limit for sum</v>
      </c>
      <c r="P141" s="358" t="str">
        <f t="shared" si="3"/>
        <v>Limit for sum</v>
      </c>
      <c r="Q141" s="800" t="s">
        <v>893</v>
      </c>
      <c r="R141" s="801"/>
      <c r="S141" s="801"/>
      <c r="T141" s="802"/>
      <c r="U141" s="800" t="s">
        <v>894</v>
      </c>
      <c r="V141" s="801"/>
      <c r="W141" s="801"/>
      <c r="X141" s="802"/>
      <c r="Y141" s="800" t="s">
        <v>895</v>
      </c>
      <c r="Z141" s="801"/>
      <c r="AA141" s="801"/>
      <c r="AB141" s="802"/>
      <c r="AC141" s="800" t="s">
        <v>893</v>
      </c>
      <c r="AD141" s="801"/>
      <c r="AE141" s="801"/>
      <c r="AF141" s="802"/>
      <c r="AG141" s="800" t="s">
        <v>894</v>
      </c>
      <c r="AH141" s="801"/>
      <c r="AI141" s="801"/>
      <c r="AJ141" s="802"/>
      <c r="AK141" s="800" t="s">
        <v>895</v>
      </c>
      <c r="AL141" s="801"/>
      <c r="AM141" s="801"/>
      <c r="AN141" s="802"/>
    </row>
    <row r="142" spans="1:40" x14ac:dyDescent="0.15">
      <c r="A142" s="233" t="str">
        <f>IF(Product!$C$2=Languages!A3,Languages!A270,Languages!B270)</f>
        <v>I&amp;I Laundry detergent, Powder</v>
      </c>
      <c r="B142" s="247">
        <v>40000</v>
      </c>
      <c r="C142" s="351">
        <v>1.1000000000000001</v>
      </c>
      <c r="D142" s="351">
        <v>1.1000000000000001</v>
      </c>
      <c r="E142" s="249" t="s">
        <v>810</v>
      </c>
      <c r="F142" s="359">
        <v>1</v>
      </c>
      <c r="G142" s="365"/>
      <c r="H142" s="466"/>
      <c r="I142" s="247">
        <v>60000</v>
      </c>
      <c r="J142" s="351">
        <v>1.4</v>
      </c>
      <c r="K142" s="351">
        <v>1.4</v>
      </c>
      <c r="L142" s="359">
        <v>1</v>
      </c>
      <c r="M142" s="247">
        <v>75000</v>
      </c>
      <c r="N142" s="351">
        <v>1.75</v>
      </c>
      <c r="O142" s="351">
        <v>1.75</v>
      </c>
      <c r="P142" s="359">
        <v>1</v>
      </c>
      <c r="Q142" s="247">
        <v>30000</v>
      </c>
      <c r="R142" s="351">
        <v>0.7</v>
      </c>
      <c r="S142" s="351">
        <v>0.7</v>
      </c>
      <c r="T142" s="359">
        <v>0.5</v>
      </c>
      <c r="U142" s="247">
        <v>40000</v>
      </c>
      <c r="V142" s="351">
        <v>1.1000000000000001</v>
      </c>
      <c r="W142" s="351">
        <v>1.1000000000000001</v>
      </c>
      <c r="X142" s="359">
        <v>0.5</v>
      </c>
      <c r="Y142" s="247">
        <v>50000</v>
      </c>
      <c r="Z142" s="351">
        <v>1.4</v>
      </c>
      <c r="AA142" s="351">
        <v>1.4</v>
      </c>
      <c r="AB142" s="359">
        <v>0.5</v>
      </c>
      <c r="AC142" s="247">
        <v>50000</v>
      </c>
      <c r="AD142" s="351">
        <v>1.4</v>
      </c>
      <c r="AE142" s="351">
        <v>1.4</v>
      </c>
      <c r="AF142" s="359">
        <v>1.5</v>
      </c>
      <c r="AG142" s="247">
        <v>80000</v>
      </c>
      <c r="AH142" s="351">
        <v>1.75</v>
      </c>
      <c r="AI142" s="351">
        <v>1.75</v>
      </c>
      <c r="AJ142" s="359">
        <v>1.5</v>
      </c>
      <c r="AK142" s="247">
        <v>90000</v>
      </c>
      <c r="AL142" s="351">
        <v>2.2000000000000002</v>
      </c>
      <c r="AM142" s="351">
        <v>2.2000000000000002</v>
      </c>
      <c r="AN142" s="359">
        <v>1.5</v>
      </c>
    </row>
    <row r="143" spans="1:40" x14ac:dyDescent="0.15">
      <c r="A143" s="233" t="str">
        <f>IF(Product!$C$2=Languages!A3,Languages!A271,Languages!B271)</f>
        <v>I&amp;I Laundry detergent, Liquid</v>
      </c>
      <c r="B143" s="247">
        <v>60000</v>
      </c>
      <c r="C143" s="351">
        <v>0.6</v>
      </c>
      <c r="D143" s="351">
        <v>0.6</v>
      </c>
      <c r="E143" s="249" t="s">
        <v>810</v>
      </c>
      <c r="F143" s="359">
        <v>1</v>
      </c>
      <c r="G143" s="365"/>
      <c r="H143" s="466"/>
      <c r="I143" s="247">
        <v>75000</v>
      </c>
      <c r="J143" s="351">
        <v>0.7</v>
      </c>
      <c r="K143" s="351">
        <v>0.7</v>
      </c>
      <c r="L143" s="359">
        <v>1</v>
      </c>
      <c r="M143" s="247">
        <v>90000</v>
      </c>
      <c r="N143" s="351">
        <v>0.9</v>
      </c>
      <c r="O143" s="351">
        <v>0.9</v>
      </c>
      <c r="P143" s="359">
        <v>1</v>
      </c>
      <c r="Q143" s="247">
        <v>50000</v>
      </c>
      <c r="R143" s="351">
        <v>0.5</v>
      </c>
      <c r="S143" s="351">
        <v>0.5</v>
      </c>
      <c r="T143" s="359">
        <v>0.5</v>
      </c>
      <c r="U143" s="247">
        <v>60000</v>
      </c>
      <c r="V143" s="351">
        <v>0.6</v>
      </c>
      <c r="W143" s="351">
        <v>0.6</v>
      </c>
      <c r="X143" s="359">
        <v>0.5</v>
      </c>
      <c r="Y143" s="247">
        <v>75000</v>
      </c>
      <c r="Z143" s="351">
        <v>0.7</v>
      </c>
      <c r="AA143" s="351">
        <v>0.7</v>
      </c>
      <c r="AB143" s="359">
        <v>0.5</v>
      </c>
      <c r="AC143" s="247">
        <v>70000</v>
      </c>
      <c r="AD143" s="351">
        <v>0.7</v>
      </c>
      <c r="AE143" s="351">
        <v>0.7</v>
      </c>
      <c r="AF143" s="359">
        <v>1.5</v>
      </c>
      <c r="AG143" s="247">
        <v>90000</v>
      </c>
      <c r="AH143" s="351">
        <v>0.9</v>
      </c>
      <c r="AI143" s="351">
        <v>0.9</v>
      </c>
      <c r="AJ143" s="359">
        <v>1.5</v>
      </c>
      <c r="AK143" s="247">
        <v>120000</v>
      </c>
      <c r="AL143" s="351">
        <v>1.2</v>
      </c>
      <c r="AM143" s="351">
        <v>1.2</v>
      </c>
      <c r="AN143" s="359">
        <v>1.5</v>
      </c>
    </row>
    <row r="144" spans="1:40" x14ac:dyDescent="0.15">
      <c r="A144" s="233" t="str">
        <f>IF(Product!$C$2=Languages!A3,Languages!A272,Languages!B272)</f>
        <v>I&amp;I LD Multi-component-system, Part 1</v>
      </c>
      <c r="B144" s="247" t="str">
        <f>$B$134</f>
        <v>Limit for sum</v>
      </c>
      <c r="C144" s="351" t="str">
        <f t="shared" ref="C144:F144" si="4">$B$134</f>
        <v>Limit for sum</v>
      </c>
      <c r="D144" s="351" t="str">
        <f t="shared" si="4"/>
        <v>Limit for sum</v>
      </c>
      <c r="E144" s="249" t="s">
        <v>810</v>
      </c>
      <c r="F144" s="358" t="str">
        <f t="shared" si="4"/>
        <v>Limit for sum</v>
      </c>
      <c r="G144" s="365"/>
      <c r="H144" s="466"/>
      <c r="I144" s="247" t="str">
        <f>$B$134</f>
        <v>Limit for sum</v>
      </c>
      <c r="J144" s="351" t="str">
        <f t="shared" ref="J144:L144" si="5">$B$134</f>
        <v>Limit for sum</v>
      </c>
      <c r="K144" s="351" t="str">
        <f t="shared" si="5"/>
        <v>Limit for sum</v>
      </c>
      <c r="L144" s="358" t="str">
        <f t="shared" si="5"/>
        <v>Limit for sum</v>
      </c>
      <c r="M144" s="247" t="str">
        <f>$B$134</f>
        <v>Limit for sum</v>
      </c>
      <c r="N144" s="351" t="str">
        <f t="shared" ref="N144:P144" si="6">$B$134</f>
        <v>Limit for sum</v>
      </c>
      <c r="O144" s="351" t="str">
        <f t="shared" si="6"/>
        <v>Limit for sum</v>
      </c>
      <c r="P144" s="358" t="str">
        <f t="shared" si="6"/>
        <v>Limit for sum</v>
      </c>
      <c r="Q144" s="247" t="str">
        <f>$B$134</f>
        <v>Limit for sum</v>
      </c>
      <c r="R144" s="351" t="str">
        <f t="shared" ref="R144:T144" si="7">$B$134</f>
        <v>Limit for sum</v>
      </c>
      <c r="S144" s="351" t="str">
        <f t="shared" si="7"/>
        <v>Limit for sum</v>
      </c>
      <c r="T144" s="358" t="str">
        <f t="shared" si="7"/>
        <v>Limit for sum</v>
      </c>
      <c r="U144" s="247" t="str">
        <f>$B$134</f>
        <v>Limit for sum</v>
      </c>
      <c r="V144" s="351" t="str">
        <f t="shared" ref="V144:X144" si="8">$B$134</f>
        <v>Limit for sum</v>
      </c>
      <c r="W144" s="351" t="str">
        <f t="shared" si="8"/>
        <v>Limit for sum</v>
      </c>
      <c r="X144" s="358" t="str">
        <f t="shared" si="8"/>
        <v>Limit for sum</v>
      </c>
      <c r="Y144" s="247" t="str">
        <f>$B$134</f>
        <v>Limit for sum</v>
      </c>
      <c r="Z144" s="351" t="str">
        <f t="shared" ref="Z144:AB144" si="9">$B$134</f>
        <v>Limit for sum</v>
      </c>
      <c r="AA144" s="351" t="str">
        <f t="shared" si="9"/>
        <v>Limit for sum</v>
      </c>
      <c r="AB144" s="358" t="str">
        <f t="shared" si="9"/>
        <v>Limit for sum</v>
      </c>
      <c r="AC144" s="247" t="str">
        <f>$B$134</f>
        <v>Limit for sum</v>
      </c>
      <c r="AD144" s="351" t="str">
        <f t="shared" ref="AD144:AF144" si="10">$B$134</f>
        <v>Limit for sum</v>
      </c>
      <c r="AE144" s="351" t="str">
        <f t="shared" si="10"/>
        <v>Limit for sum</v>
      </c>
      <c r="AF144" s="358" t="str">
        <f t="shared" si="10"/>
        <v>Limit for sum</v>
      </c>
      <c r="AG144" s="247" t="str">
        <f>$B$134</f>
        <v>Limit for sum</v>
      </c>
      <c r="AH144" s="351" t="str">
        <f t="shared" ref="AH144:AJ144" si="11">$B$134</f>
        <v>Limit for sum</v>
      </c>
      <c r="AI144" s="351" t="str">
        <f t="shared" si="11"/>
        <v>Limit for sum</v>
      </c>
      <c r="AJ144" s="358" t="str">
        <f t="shared" si="11"/>
        <v>Limit for sum</v>
      </c>
      <c r="AK144" s="247" t="str">
        <f>$B$134</f>
        <v>Limit for sum</v>
      </c>
      <c r="AL144" s="351" t="str">
        <f t="shared" ref="AL144:AN144" si="12">$B$134</f>
        <v>Limit for sum</v>
      </c>
      <c r="AM144" s="351" t="str">
        <f t="shared" si="12"/>
        <v>Limit for sum</v>
      </c>
      <c r="AN144" s="358" t="str">
        <f t="shared" si="12"/>
        <v>Limit for sum</v>
      </c>
    </row>
    <row r="145" spans="1:40" x14ac:dyDescent="0.15">
      <c r="A145" s="233" t="str">
        <f>IF(Product!$C$2=Languages!A3,Languages!A273,Languages!B273)</f>
        <v>I&amp;I LD Multi-component-system, Part 2</v>
      </c>
      <c r="B145" s="247" t="str">
        <f t="shared" ref="B145:F151" si="13">$B$134</f>
        <v>Limit for sum</v>
      </c>
      <c r="C145" s="351" t="str">
        <f t="shared" si="13"/>
        <v>Limit for sum</v>
      </c>
      <c r="D145" s="351" t="str">
        <f t="shared" si="13"/>
        <v>Limit for sum</v>
      </c>
      <c r="E145" s="249" t="s">
        <v>810</v>
      </c>
      <c r="F145" s="358" t="str">
        <f t="shared" si="13"/>
        <v>Limit for sum</v>
      </c>
      <c r="G145" s="365"/>
      <c r="H145" s="466"/>
      <c r="I145" s="247" t="str">
        <f t="shared" ref="I145:T151" si="14">$B$134</f>
        <v>Limit for sum</v>
      </c>
      <c r="J145" s="351" t="str">
        <f t="shared" si="14"/>
        <v>Limit for sum</v>
      </c>
      <c r="K145" s="351" t="str">
        <f t="shared" si="14"/>
        <v>Limit for sum</v>
      </c>
      <c r="L145" s="358" t="str">
        <f t="shared" si="14"/>
        <v>Limit for sum</v>
      </c>
      <c r="M145" s="247" t="str">
        <f t="shared" si="14"/>
        <v>Limit for sum</v>
      </c>
      <c r="N145" s="351" t="str">
        <f t="shared" si="14"/>
        <v>Limit for sum</v>
      </c>
      <c r="O145" s="351" t="str">
        <f t="shared" si="14"/>
        <v>Limit for sum</v>
      </c>
      <c r="P145" s="358" t="str">
        <f t="shared" si="14"/>
        <v>Limit for sum</v>
      </c>
      <c r="Q145" s="247" t="str">
        <f t="shared" si="14"/>
        <v>Limit for sum</v>
      </c>
      <c r="R145" s="351" t="str">
        <f t="shared" si="14"/>
        <v>Limit for sum</v>
      </c>
      <c r="S145" s="351" t="str">
        <f t="shared" si="14"/>
        <v>Limit for sum</v>
      </c>
      <c r="T145" s="358" t="str">
        <f t="shared" si="14"/>
        <v>Limit for sum</v>
      </c>
      <c r="U145" s="247" t="str">
        <f t="shared" ref="U145:AF151" si="15">$B$134</f>
        <v>Limit for sum</v>
      </c>
      <c r="V145" s="351" t="str">
        <f t="shared" si="15"/>
        <v>Limit for sum</v>
      </c>
      <c r="W145" s="351" t="str">
        <f t="shared" si="15"/>
        <v>Limit for sum</v>
      </c>
      <c r="X145" s="358" t="str">
        <f t="shared" si="15"/>
        <v>Limit for sum</v>
      </c>
      <c r="Y145" s="247" t="str">
        <f t="shared" si="15"/>
        <v>Limit for sum</v>
      </c>
      <c r="Z145" s="351" t="str">
        <f t="shared" si="15"/>
        <v>Limit for sum</v>
      </c>
      <c r="AA145" s="351" t="str">
        <f t="shared" si="15"/>
        <v>Limit for sum</v>
      </c>
      <c r="AB145" s="358" t="str">
        <f t="shared" si="15"/>
        <v>Limit for sum</v>
      </c>
      <c r="AC145" s="247" t="str">
        <f t="shared" si="15"/>
        <v>Limit for sum</v>
      </c>
      <c r="AD145" s="351" t="str">
        <f t="shared" si="15"/>
        <v>Limit for sum</v>
      </c>
      <c r="AE145" s="351" t="str">
        <f t="shared" si="15"/>
        <v>Limit for sum</v>
      </c>
      <c r="AF145" s="358" t="str">
        <f t="shared" si="15"/>
        <v>Limit for sum</v>
      </c>
      <c r="AG145" s="247" t="str">
        <f t="shared" ref="AG145:AN151" si="16">$B$134</f>
        <v>Limit for sum</v>
      </c>
      <c r="AH145" s="351" t="str">
        <f t="shared" si="16"/>
        <v>Limit for sum</v>
      </c>
      <c r="AI145" s="351" t="str">
        <f t="shared" si="16"/>
        <v>Limit for sum</v>
      </c>
      <c r="AJ145" s="358" t="str">
        <f t="shared" si="16"/>
        <v>Limit for sum</v>
      </c>
      <c r="AK145" s="247" t="str">
        <f t="shared" si="16"/>
        <v>Limit for sum</v>
      </c>
      <c r="AL145" s="351" t="str">
        <f t="shared" si="16"/>
        <v>Limit for sum</v>
      </c>
      <c r="AM145" s="351" t="str">
        <f t="shared" si="16"/>
        <v>Limit for sum</v>
      </c>
      <c r="AN145" s="358" t="str">
        <f t="shared" si="16"/>
        <v>Limit for sum</v>
      </c>
    </row>
    <row r="146" spans="1:40" x14ac:dyDescent="0.15">
      <c r="A146" s="233" t="str">
        <f>IF(Product!$C$2=Languages!A3,Languages!A274,Languages!B274)</f>
        <v>I&amp;I LD Multi-component-system, Part 3</v>
      </c>
      <c r="B146" s="247" t="str">
        <f t="shared" si="13"/>
        <v>Limit for sum</v>
      </c>
      <c r="C146" s="351" t="str">
        <f t="shared" si="13"/>
        <v>Limit for sum</v>
      </c>
      <c r="D146" s="351" t="str">
        <f t="shared" si="13"/>
        <v>Limit for sum</v>
      </c>
      <c r="E146" s="249" t="s">
        <v>810</v>
      </c>
      <c r="F146" s="358" t="str">
        <f t="shared" si="13"/>
        <v>Limit for sum</v>
      </c>
      <c r="G146" s="365"/>
      <c r="H146" s="466"/>
      <c r="I146" s="247" t="str">
        <f t="shared" si="14"/>
        <v>Limit for sum</v>
      </c>
      <c r="J146" s="351" t="str">
        <f t="shared" si="14"/>
        <v>Limit for sum</v>
      </c>
      <c r="K146" s="351" t="str">
        <f t="shared" si="14"/>
        <v>Limit for sum</v>
      </c>
      <c r="L146" s="358" t="str">
        <f t="shared" si="14"/>
        <v>Limit for sum</v>
      </c>
      <c r="M146" s="247" t="str">
        <f t="shared" si="14"/>
        <v>Limit for sum</v>
      </c>
      <c r="N146" s="351" t="str">
        <f t="shared" si="14"/>
        <v>Limit for sum</v>
      </c>
      <c r="O146" s="351" t="str">
        <f t="shared" si="14"/>
        <v>Limit for sum</v>
      </c>
      <c r="P146" s="358" t="str">
        <f t="shared" si="14"/>
        <v>Limit for sum</v>
      </c>
      <c r="Q146" s="247" t="str">
        <f t="shared" si="14"/>
        <v>Limit for sum</v>
      </c>
      <c r="R146" s="351" t="str">
        <f t="shared" si="14"/>
        <v>Limit for sum</v>
      </c>
      <c r="S146" s="351" t="str">
        <f t="shared" si="14"/>
        <v>Limit for sum</v>
      </c>
      <c r="T146" s="358" t="str">
        <f t="shared" si="14"/>
        <v>Limit for sum</v>
      </c>
      <c r="U146" s="247" t="str">
        <f t="shared" si="15"/>
        <v>Limit for sum</v>
      </c>
      <c r="V146" s="351" t="str">
        <f t="shared" si="15"/>
        <v>Limit for sum</v>
      </c>
      <c r="W146" s="351" t="str">
        <f t="shared" si="15"/>
        <v>Limit for sum</v>
      </c>
      <c r="X146" s="358" t="str">
        <f t="shared" si="15"/>
        <v>Limit for sum</v>
      </c>
      <c r="Y146" s="247" t="str">
        <f t="shared" si="15"/>
        <v>Limit for sum</v>
      </c>
      <c r="Z146" s="351" t="str">
        <f t="shared" si="15"/>
        <v>Limit for sum</v>
      </c>
      <c r="AA146" s="351" t="str">
        <f t="shared" si="15"/>
        <v>Limit for sum</v>
      </c>
      <c r="AB146" s="358" t="str">
        <f t="shared" si="15"/>
        <v>Limit for sum</v>
      </c>
      <c r="AC146" s="247" t="str">
        <f t="shared" si="15"/>
        <v>Limit for sum</v>
      </c>
      <c r="AD146" s="351" t="str">
        <f t="shared" si="15"/>
        <v>Limit for sum</v>
      </c>
      <c r="AE146" s="351" t="str">
        <f t="shared" si="15"/>
        <v>Limit for sum</v>
      </c>
      <c r="AF146" s="358" t="str">
        <f t="shared" si="15"/>
        <v>Limit for sum</v>
      </c>
      <c r="AG146" s="247" t="str">
        <f t="shared" si="16"/>
        <v>Limit for sum</v>
      </c>
      <c r="AH146" s="351" t="str">
        <f t="shared" si="16"/>
        <v>Limit for sum</v>
      </c>
      <c r="AI146" s="351" t="str">
        <f t="shared" si="16"/>
        <v>Limit for sum</v>
      </c>
      <c r="AJ146" s="358" t="str">
        <f t="shared" si="16"/>
        <v>Limit for sum</v>
      </c>
      <c r="AK146" s="247" t="str">
        <f t="shared" si="16"/>
        <v>Limit for sum</v>
      </c>
      <c r="AL146" s="351" t="str">
        <f t="shared" si="16"/>
        <v>Limit for sum</v>
      </c>
      <c r="AM146" s="351" t="str">
        <f t="shared" si="16"/>
        <v>Limit for sum</v>
      </c>
      <c r="AN146" s="358" t="str">
        <f t="shared" si="16"/>
        <v>Limit for sum</v>
      </c>
    </row>
    <row r="147" spans="1:40" x14ac:dyDescent="0.15">
      <c r="A147" s="233" t="str">
        <f>IF(Product!$C$2=Languages!A3,Languages!A275,Languages!B275)</f>
        <v>I&amp;I LD Multi-component-system, Part 4</v>
      </c>
      <c r="B147" s="247" t="str">
        <f t="shared" si="13"/>
        <v>Limit for sum</v>
      </c>
      <c r="C147" s="351" t="str">
        <f t="shared" si="13"/>
        <v>Limit for sum</v>
      </c>
      <c r="D147" s="351" t="str">
        <f t="shared" si="13"/>
        <v>Limit for sum</v>
      </c>
      <c r="E147" s="249" t="s">
        <v>810</v>
      </c>
      <c r="F147" s="358" t="str">
        <f t="shared" si="13"/>
        <v>Limit for sum</v>
      </c>
      <c r="G147" s="365"/>
      <c r="H147" s="466"/>
      <c r="I147" s="247" t="str">
        <f t="shared" si="14"/>
        <v>Limit for sum</v>
      </c>
      <c r="J147" s="351" t="str">
        <f t="shared" si="14"/>
        <v>Limit for sum</v>
      </c>
      <c r="K147" s="351" t="str">
        <f t="shared" si="14"/>
        <v>Limit for sum</v>
      </c>
      <c r="L147" s="358" t="str">
        <f t="shared" si="14"/>
        <v>Limit for sum</v>
      </c>
      <c r="M147" s="247" t="str">
        <f t="shared" si="14"/>
        <v>Limit for sum</v>
      </c>
      <c r="N147" s="351" t="str">
        <f t="shared" si="14"/>
        <v>Limit for sum</v>
      </c>
      <c r="O147" s="351" t="str">
        <f t="shared" si="14"/>
        <v>Limit for sum</v>
      </c>
      <c r="P147" s="358" t="str">
        <f t="shared" si="14"/>
        <v>Limit for sum</v>
      </c>
      <c r="Q147" s="247" t="str">
        <f t="shared" si="14"/>
        <v>Limit for sum</v>
      </c>
      <c r="R147" s="351" t="str">
        <f t="shared" si="14"/>
        <v>Limit for sum</v>
      </c>
      <c r="S147" s="351" t="str">
        <f t="shared" si="14"/>
        <v>Limit for sum</v>
      </c>
      <c r="T147" s="358" t="str">
        <f t="shared" si="14"/>
        <v>Limit for sum</v>
      </c>
      <c r="U147" s="247" t="str">
        <f t="shared" si="15"/>
        <v>Limit for sum</v>
      </c>
      <c r="V147" s="351" t="str">
        <f t="shared" si="15"/>
        <v>Limit for sum</v>
      </c>
      <c r="W147" s="351" t="str">
        <f t="shared" si="15"/>
        <v>Limit for sum</v>
      </c>
      <c r="X147" s="358" t="str">
        <f t="shared" si="15"/>
        <v>Limit for sum</v>
      </c>
      <c r="Y147" s="247" t="str">
        <f t="shared" si="15"/>
        <v>Limit for sum</v>
      </c>
      <c r="Z147" s="351" t="str">
        <f t="shared" si="15"/>
        <v>Limit for sum</v>
      </c>
      <c r="AA147" s="351" t="str">
        <f t="shared" si="15"/>
        <v>Limit for sum</v>
      </c>
      <c r="AB147" s="358" t="str">
        <f t="shared" si="15"/>
        <v>Limit for sum</v>
      </c>
      <c r="AC147" s="247" t="str">
        <f t="shared" si="15"/>
        <v>Limit for sum</v>
      </c>
      <c r="AD147" s="351" t="str">
        <f t="shared" si="15"/>
        <v>Limit for sum</v>
      </c>
      <c r="AE147" s="351" t="str">
        <f t="shared" si="15"/>
        <v>Limit for sum</v>
      </c>
      <c r="AF147" s="358" t="str">
        <f t="shared" si="15"/>
        <v>Limit for sum</v>
      </c>
      <c r="AG147" s="247" t="str">
        <f t="shared" si="16"/>
        <v>Limit for sum</v>
      </c>
      <c r="AH147" s="351" t="str">
        <f t="shared" si="16"/>
        <v>Limit for sum</v>
      </c>
      <c r="AI147" s="351" t="str">
        <f t="shared" si="16"/>
        <v>Limit for sum</v>
      </c>
      <c r="AJ147" s="358" t="str">
        <f t="shared" si="16"/>
        <v>Limit for sum</v>
      </c>
      <c r="AK147" s="247" t="str">
        <f t="shared" si="16"/>
        <v>Limit for sum</v>
      </c>
      <c r="AL147" s="351" t="str">
        <f t="shared" si="16"/>
        <v>Limit for sum</v>
      </c>
      <c r="AM147" s="351" t="str">
        <f t="shared" si="16"/>
        <v>Limit for sum</v>
      </c>
      <c r="AN147" s="358" t="str">
        <f t="shared" si="16"/>
        <v>Limit for sum</v>
      </c>
    </row>
    <row r="148" spans="1:40" x14ac:dyDescent="0.15">
      <c r="A148" s="233" t="str">
        <f>IF(Product!$C$2=Languages!A3,Languages!A276,Languages!B276)</f>
        <v>I&amp;I LD Multi-component-system, Part 5</v>
      </c>
      <c r="B148" s="247" t="str">
        <f t="shared" si="13"/>
        <v>Limit for sum</v>
      </c>
      <c r="C148" s="351" t="str">
        <f t="shared" si="13"/>
        <v>Limit for sum</v>
      </c>
      <c r="D148" s="351" t="str">
        <f t="shared" si="13"/>
        <v>Limit for sum</v>
      </c>
      <c r="E148" s="249" t="s">
        <v>810</v>
      </c>
      <c r="F148" s="358" t="str">
        <f t="shared" si="13"/>
        <v>Limit for sum</v>
      </c>
      <c r="G148" s="365"/>
      <c r="H148" s="466"/>
      <c r="I148" s="247" t="str">
        <f t="shared" si="14"/>
        <v>Limit for sum</v>
      </c>
      <c r="J148" s="351" t="str">
        <f t="shared" si="14"/>
        <v>Limit for sum</v>
      </c>
      <c r="K148" s="351" t="str">
        <f t="shared" si="14"/>
        <v>Limit for sum</v>
      </c>
      <c r="L148" s="358" t="str">
        <f t="shared" si="14"/>
        <v>Limit for sum</v>
      </c>
      <c r="M148" s="247" t="str">
        <f t="shared" si="14"/>
        <v>Limit for sum</v>
      </c>
      <c r="N148" s="351" t="str">
        <f t="shared" si="14"/>
        <v>Limit for sum</v>
      </c>
      <c r="O148" s="351" t="str">
        <f t="shared" si="14"/>
        <v>Limit for sum</v>
      </c>
      <c r="P148" s="358" t="str">
        <f t="shared" si="14"/>
        <v>Limit for sum</v>
      </c>
      <c r="Q148" s="247" t="str">
        <f t="shared" si="14"/>
        <v>Limit for sum</v>
      </c>
      <c r="R148" s="351" t="str">
        <f t="shared" si="14"/>
        <v>Limit for sum</v>
      </c>
      <c r="S148" s="351" t="str">
        <f t="shared" si="14"/>
        <v>Limit for sum</v>
      </c>
      <c r="T148" s="358" t="str">
        <f t="shared" si="14"/>
        <v>Limit for sum</v>
      </c>
      <c r="U148" s="247" t="str">
        <f t="shared" si="15"/>
        <v>Limit for sum</v>
      </c>
      <c r="V148" s="351" t="str">
        <f t="shared" si="15"/>
        <v>Limit for sum</v>
      </c>
      <c r="W148" s="351" t="str">
        <f t="shared" si="15"/>
        <v>Limit for sum</v>
      </c>
      <c r="X148" s="358" t="str">
        <f t="shared" si="15"/>
        <v>Limit for sum</v>
      </c>
      <c r="Y148" s="247" t="str">
        <f t="shared" si="15"/>
        <v>Limit for sum</v>
      </c>
      <c r="Z148" s="351" t="str">
        <f t="shared" si="15"/>
        <v>Limit for sum</v>
      </c>
      <c r="AA148" s="351" t="str">
        <f t="shared" si="15"/>
        <v>Limit for sum</v>
      </c>
      <c r="AB148" s="358" t="str">
        <f t="shared" si="15"/>
        <v>Limit for sum</v>
      </c>
      <c r="AC148" s="247" t="str">
        <f t="shared" si="15"/>
        <v>Limit for sum</v>
      </c>
      <c r="AD148" s="351" t="str">
        <f t="shared" si="15"/>
        <v>Limit for sum</v>
      </c>
      <c r="AE148" s="351" t="str">
        <f t="shared" si="15"/>
        <v>Limit for sum</v>
      </c>
      <c r="AF148" s="358" t="str">
        <f t="shared" si="15"/>
        <v>Limit for sum</v>
      </c>
      <c r="AG148" s="247" t="str">
        <f t="shared" si="16"/>
        <v>Limit for sum</v>
      </c>
      <c r="AH148" s="351" t="str">
        <f t="shared" si="16"/>
        <v>Limit for sum</v>
      </c>
      <c r="AI148" s="351" t="str">
        <f t="shared" si="16"/>
        <v>Limit for sum</v>
      </c>
      <c r="AJ148" s="358" t="str">
        <f t="shared" si="16"/>
        <v>Limit for sum</v>
      </c>
      <c r="AK148" s="247" t="str">
        <f t="shared" si="16"/>
        <v>Limit for sum</v>
      </c>
      <c r="AL148" s="351" t="str">
        <f t="shared" si="16"/>
        <v>Limit for sum</v>
      </c>
      <c r="AM148" s="351" t="str">
        <f t="shared" si="16"/>
        <v>Limit for sum</v>
      </c>
      <c r="AN148" s="358" t="str">
        <f t="shared" si="16"/>
        <v>Limit for sum</v>
      </c>
    </row>
    <row r="149" spans="1:40" x14ac:dyDescent="0.15">
      <c r="A149" s="233" t="str">
        <f>IF(Product!$C$2=Languages!A3,Languages!A277,Languages!B277)</f>
        <v>I&amp;I LD Multi-component-system, Part 6</v>
      </c>
      <c r="B149" s="247" t="str">
        <f t="shared" si="13"/>
        <v>Limit for sum</v>
      </c>
      <c r="C149" s="351" t="str">
        <f t="shared" si="13"/>
        <v>Limit for sum</v>
      </c>
      <c r="D149" s="351" t="str">
        <f t="shared" si="13"/>
        <v>Limit for sum</v>
      </c>
      <c r="E149" s="249" t="s">
        <v>810</v>
      </c>
      <c r="F149" s="358" t="str">
        <f t="shared" si="13"/>
        <v>Limit for sum</v>
      </c>
      <c r="G149" s="365"/>
      <c r="H149" s="466"/>
      <c r="I149" s="247" t="str">
        <f t="shared" si="14"/>
        <v>Limit for sum</v>
      </c>
      <c r="J149" s="351" t="str">
        <f t="shared" si="14"/>
        <v>Limit for sum</v>
      </c>
      <c r="K149" s="351" t="str">
        <f t="shared" si="14"/>
        <v>Limit for sum</v>
      </c>
      <c r="L149" s="358" t="str">
        <f t="shared" si="14"/>
        <v>Limit for sum</v>
      </c>
      <c r="M149" s="247" t="str">
        <f t="shared" si="14"/>
        <v>Limit for sum</v>
      </c>
      <c r="N149" s="351" t="str">
        <f t="shared" si="14"/>
        <v>Limit for sum</v>
      </c>
      <c r="O149" s="351" t="str">
        <f t="shared" si="14"/>
        <v>Limit for sum</v>
      </c>
      <c r="P149" s="358" t="str">
        <f t="shared" si="14"/>
        <v>Limit for sum</v>
      </c>
      <c r="Q149" s="247" t="str">
        <f t="shared" si="14"/>
        <v>Limit for sum</v>
      </c>
      <c r="R149" s="351" t="str">
        <f t="shared" si="14"/>
        <v>Limit for sum</v>
      </c>
      <c r="S149" s="351" t="str">
        <f t="shared" si="14"/>
        <v>Limit for sum</v>
      </c>
      <c r="T149" s="358" t="str">
        <f t="shared" si="14"/>
        <v>Limit for sum</v>
      </c>
      <c r="U149" s="247" t="str">
        <f t="shared" si="15"/>
        <v>Limit for sum</v>
      </c>
      <c r="V149" s="351" t="str">
        <f t="shared" si="15"/>
        <v>Limit for sum</v>
      </c>
      <c r="W149" s="351" t="str">
        <f t="shared" si="15"/>
        <v>Limit for sum</v>
      </c>
      <c r="X149" s="358" t="str">
        <f t="shared" si="15"/>
        <v>Limit for sum</v>
      </c>
      <c r="Y149" s="247" t="str">
        <f t="shared" si="15"/>
        <v>Limit for sum</v>
      </c>
      <c r="Z149" s="351" t="str">
        <f t="shared" si="15"/>
        <v>Limit for sum</v>
      </c>
      <c r="AA149" s="351" t="str">
        <f t="shared" si="15"/>
        <v>Limit for sum</v>
      </c>
      <c r="AB149" s="358" t="str">
        <f t="shared" si="15"/>
        <v>Limit for sum</v>
      </c>
      <c r="AC149" s="247" t="str">
        <f t="shared" si="15"/>
        <v>Limit for sum</v>
      </c>
      <c r="AD149" s="351" t="str">
        <f t="shared" si="15"/>
        <v>Limit for sum</v>
      </c>
      <c r="AE149" s="351" t="str">
        <f t="shared" si="15"/>
        <v>Limit for sum</v>
      </c>
      <c r="AF149" s="358" t="str">
        <f t="shared" si="15"/>
        <v>Limit for sum</v>
      </c>
      <c r="AG149" s="247" t="str">
        <f t="shared" si="16"/>
        <v>Limit for sum</v>
      </c>
      <c r="AH149" s="351" t="str">
        <f t="shared" si="16"/>
        <v>Limit for sum</v>
      </c>
      <c r="AI149" s="351" t="str">
        <f t="shared" si="16"/>
        <v>Limit for sum</v>
      </c>
      <c r="AJ149" s="358" t="str">
        <f t="shared" si="16"/>
        <v>Limit for sum</v>
      </c>
      <c r="AK149" s="247" t="str">
        <f t="shared" si="16"/>
        <v>Limit for sum</v>
      </c>
      <c r="AL149" s="351" t="str">
        <f t="shared" si="16"/>
        <v>Limit for sum</v>
      </c>
      <c r="AM149" s="351" t="str">
        <f t="shared" si="16"/>
        <v>Limit for sum</v>
      </c>
      <c r="AN149" s="358" t="str">
        <f t="shared" si="16"/>
        <v>Limit for sum</v>
      </c>
    </row>
    <row r="150" spans="1:40" x14ac:dyDescent="0.15">
      <c r="A150" s="233" t="str">
        <f>IF(Product!$C$2=Languages!A3,Languages!A278,Languages!B278)</f>
        <v>I&amp;I LD Multi-component-system, Part 7</v>
      </c>
      <c r="B150" s="247" t="str">
        <f t="shared" si="13"/>
        <v>Limit for sum</v>
      </c>
      <c r="C150" s="351" t="str">
        <f t="shared" si="13"/>
        <v>Limit for sum</v>
      </c>
      <c r="D150" s="351" t="str">
        <f t="shared" si="13"/>
        <v>Limit for sum</v>
      </c>
      <c r="E150" s="249" t="s">
        <v>810</v>
      </c>
      <c r="F150" s="358" t="str">
        <f t="shared" si="13"/>
        <v>Limit for sum</v>
      </c>
      <c r="G150" s="365"/>
      <c r="H150" s="466"/>
      <c r="I150" s="247" t="str">
        <f t="shared" si="14"/>
        <v>Limit for sum</v>
      </c>
      <c r="J150" s="351" t="str">
        <f t="shared" si="14"/>
        <v>Limit for sum</v>
      </c>
      <c r="K150" s="351" t="str">
        <f t="shared" si="14"/>
        <v>Limit for sum</v>
      </c>
      <c r="L150" s="358" t="str">
        <f t="shared" si="14"/>
        <v>Limit for sum</v>
      </c>
      <c r="M150" s="247" t="str">
        <f t="shared" si="14"/>
        <v>Limit for sum</v>
      </c>
      <c r="N150" s="351" t="str">
        <f t="shared" si="14"/>
        <v>Limit for sum</v>
      </c>
      <c r="O150" s="351" t="str">
        <f t="shared" si="14"/>
        <v>Limit for sum</v>
      </c>
      <c r="P150" s="358" t="str">
        <f t="shared" si="14"/>
        <v>Limit for sum</v>
      </c>
      <c r="Q150" s="247" t="str">
        <f t="shared" si="14"/>
        <v>Limit for sum</v>
      </c>
      <c r="R150" s="351" t="str">
        <f t="shared" si="14"/>
        <v>Limit for sum</v>
      </c>
      <c r="S150" s="351" t="str">
        <f t="shared" si="14"/>
        <v>Limit for sum</v>
      </c>
      <c r="T150" s="358" t="str">
        <f t="shared" si="14"/>
        <v>Limit for sum</v>
      </c>
      <c r="U150" s="247" t="str">
        <f t="shared" si="15"/>
        <v>Limit for sum</v>
      </c>
      <c r="V150" s="351" t="str">
        <f t="shared" si="15"/>
        <v>Limit for sum</v>
      </c>
      <c r="W150" s="351" t="str">
        <f t="shared" si="15"/>
        <v>Limit for sum</v>
      </c>
      <c r="X150" s="358" t="str">
        <f t="shared" si="15"/>
        <v>Limit for sum</v>
      </c>
      <c r="Y150" s="247" t="str">
        <f t="shared" si="15"/>
        <v>Limit for sum</v>
      </c>
      <c r="Z150" s="351" t="str">
        <f t="shared" si="15"/>
        <v>Limit for sum</v>
      </c>
      <c r="AA150" s="351" t="str">
        <f t="shared" si="15"/>
        <v>Limit for sum</v>
      </c>
      <c r="AB150" s="358" t="str">
        <f t="shared" si="15"/>
        <v>Limit for sum</v>
      </c>
      <c r="AC150" s="247" t="str">
        <f t="shared" si="15"/>
        <v>Limit for sum</v>
      </c>
      <c r="AD150" s="351" t="str">
        <f t="shared" si="15"/>
        <v>Limit for sum</v>
      </c>
      <c r="AE150" s="351" t="str">
        <f t="shared" si="15"/>
        <v>Limit for sum</v>
      </c>
      <c r="AF150" s="358" t="str">
        <f t="shared" si="15"/>
        <v>Limit for sum</v>
      </c>
      <c r="AG150" s="247" t="str">
        <f t="shared" si="16"/>
        <v>Limit for sum</v>
      </c>
      <c r="AH150" s="351" t="str">
        <f t="shared" si="16"/>
        <v>Limit for sum</v>
      </c>
      <c r="AI150" s="351" t="str">
        <f t="shared" si="16"/>
        <v>Limit for sum</v>
      </c>
      <c r="AJ150" s="358" t="str">
        <f t="shared" si="16"/>
        <v>Limit for sum</v>
      </c>
      <c r="AK150" s="247" t="str">
        <f t="shared" si="16"/>
        <v>Limit for sum</v>
      </c>
      <c r="AL150" s="351" t="str">
        <f t="shared" si="16"/>
        <v>Limit for sum</v>
      </c>
      <c r="AM150" s="351" t="str">
        <f t="shared" si="16"/>
        <v>Limit for sum</v>
      </c>
      <c r="AN150" s="358" t="str">
        <f t="shared" si="16"/>
        <v>Limit for sum</v>
      </c>
    </row>
    <row r="151" spans="1:40" ht="14" thickBot="1" x14ac:dyDescent="0.2">
      <c r="A151" s="233" t="str">
        <f>IF(Product!$C$2=Languages!A3,Languages!A279,Languages!B279)</f>
        <v>I&amp;I LD Multi-component-system, Part 8</v>
      </c>
      <c r="B151" s="360" t="str">
        <f t="shared" si="13"/>
        <v>Limit for sum</v>
      </c>
      <c r="C151" s="361" t="str">
        <f t="shared" si="13"/>
        <v>Limit for sum</v>
      </c>
      <c r="D151" s="361" t="str">
        <f t="shared" si="13"/>
        <v>Limit for sum</v>
      </c>
      <c r="E151" s="370" t="s">
        <v>810</v>
      </c>
      <c r="F151" s="362" t="str">
        <f t="shared" si="13"/>
        <v>Limit for sum</v>
      </c>
      <c r="G151" s="365"/>
      <c r="H151" s="466"/>
      <c r="I151" s="360" t="str">
        <f t="shared" si="14"/>
        <v>Limit for sum</v>
      </c>
      <c r="J151" s="361" t="str">
        <f t="shared" si="14"/>
        <v>Limit for sum</v>
      </c>
      <c r="K151" s="361" t="str">
        <f t="shared" si="14"/>
        <v>Limit for sum</v>
      </c>
      <c r="L151" s="362" t="str">
        <f t="shared" si="14"/>
        <v>Limit for sum</v>
      </c>
      <c r="M151" s="360" t="str">
        <f t="shared" si="14"/>
        <v>Limit for sum</v>
      </c>
      <c r="N151" s="361" t="str">
        <f t="shared" si="14"/>
        <v>Limit for sum</v>
      </c>
      <c r="O151" s="361" t="str">
        <f t="shared" si="14"/>
        <v>Limit for sum</v>
      </c>
      <c r="P151" s="362" t="str">
        <f t="shared" si="14"/>
        <v>Limit for sum</v>
      </c>
      <c r="Q151" s="360" t="str">
        <f t="shared" si="14"/>
        <v>Limit for sum</v>
      </c>
      <c r="R151" s="361" t="str">
        <f t="shared" si="14"/>
        <v>Limit for sum</v>
      </c>
      <c r="S151" s="361" t="str">
        <f t="shared" si="14"/>
        <v>Limit for sum</v>
      </c>
      <c r="T151" s="362" t="str">
        <f t="shared" si="14"/>
        <v>Limit for sum</v>
      </c>
      <c r="U151" s="360" t="str">
        <f t="shared" si="15"/>
        <v>Limit for sum</v>
      </c>
      <c r="V151" s="361" t="str">
        <f t="shared" si="15"/>
        <v>Limit for sum</v>
      </c>
      <c r="W151" s="361" t="str">
        <f t="shared" si="15"/>
        <v>Limit for sum</v>
      </c>
      <c r="X151" s="362" t="str">
        <f t="shared" si="15"/>
        <v>Limit for sum</v>
      </c>
      <c r="Y151" s="360" t="str">
        <f t="shared" si="15"/>
        <v>Limit for sum</v>
      </c>
      <c r="Z151" s="361" t="str">
        <f t="shared" si="15"/>
        <v>Limit for sum</v>
      </c>
      <c r="AA151" s="361" t="str">
        <f t="shared" si="15"/>
        <v>Limit for sum</v>
      </c>
      <c r="AB151" s="362" t="str">
        <f t="shared" si="15"/>
        <v>Limit for sum</v>
      </c>
      <c r="AC151" s="360" t="str">
        <f t="shared" si="15"/>
        <v>Limit for sum</v>
      </c>
      <c r="AD151" s="361" t="str">
        <f t="shared" si="15"/>
        <v>Limit for sum</v>
      </c>
      <c r="AE151" s="361" t="str">
        <f t="shared" si="15"/>
        <v>Limit for sum</v>
      </c>
      <c r="AF151" s="362" t="str">
        <f t="shared" si="15"/>
        <v>Limit for sum</v>
      </c>
      <c r="AG151" s="360" t="str">
        <f t="shared" si="16"/>
        <v>Limit for sum</v>
      </c>
      <c r="AH151" s="361" t="str">
        <f t="shared" si="16"/>
        <v>Limit for sum</v>
      </c>
      <c r="AI151" s="361" t="str">
        <f t="shared" si="16"/>
        <v>Limit for sum</v>
      </c>
      <c r="AJ151" s="362" t="str">
        <f t="shared" si="16"/>
        <v>Limit for sum</v>
      </c>
      <c r="AK151" s="360" t="str">
        <f t="shared" si="16"/>
        <v>Limit for sum</v>
      </c>
      <c r="AL151" s="361" t="str">
        <f t="shared" si="16"/>
        <v>Limit for sum</v>
      </c>
      <c r="AM151" s="361" t="str">
        <f t="shared" si="16"/>
        <v>Limit for sum</v>
      </c>
      <c r="AN151" s="362" t="str">
        <f t="shared" si="16"/>
        <v>Limit for sum</v>
      </c>
    </row>
    <row r="152" spans="1:40" x14ac:dyDescent="0.15">
      <c r="A152" s="233" t="str">
        <f>IF(Product!$C$2=Languages!A3,Languages!A280,Languages!B280)</f>
        <v>Multi-component DD system</v>
      </c>
      <c r="B152" s="353">
        <v>3000</v>
      </c>
      <c r="C152" s="353">
        <v>0.4</v>
      </c>
      <c r="D152" s="353">
        <v>0.6</v>
      </c>
      <c r="E152" s="437"/>
      <c r="F152" s="353">
        <v>0.17</v>
      </c>
      <c r="G152" s="438"/>
      <c r="H152" s="438"/>
      <c r="I152" s="353">
        <v>4000</v>
      </c>
      <c r="J152" s="353">
        <v>0.4</v>
      </c>
      <c r="K152" s="353">
        <v>1</v>
      </c>
      <c r="L152" s="353">
        <v>0.32</v>
      </c>
      <c r="M152" s="353">
        <v>5000</v>
      </c>
      <c r="N152" s="353">
        <v>0.4</v>
      </c>
      <c r="O152" s="353">
        <v>1</v>
      </c>
      <c r="P152" s="353">
        <v>0.52</v>
      </c>
      <c r="Q152" s="353"/>
      <c r="R152" s="353"/>
      <c r="S152" s="353"/>
      <c r="T152" s="353"/>
      <c r="U152" s="353"/>
      <c r="V152" s="353"/>
      <c r="W152" s="353"/>
      <c r="X152" s="353"/>
      <c r="Y152" s="353"/>
      <c r="Z152" s="353"/>
      <c r="AA152" s="353"/>
      <c r="AB152" s="353"/>
      <c r="AC152" s="353"/>
      <c r="AD152" s="353"/>
      <c r="AE152" s="353"/>
      <c r="AF152" s="353"/>
      <c r="AG152" s="353"/>
      <c r="AH152" s="353"/>
      <c r="AI152" s="353"/>
      <c r="AJ152" s="353"/>
      <c r="AK152" s="353"/>
      <c r="AL152" s="353"/>
      <c r="AM152" s="353"/>
      <c r="AN152" s="353"/>
    </row>
    <row r="153" spans="1:40" x14ac:dyDescent="0.15">
      <c r="A153" s="233" t="str">
        <f>IF(Product!$C$2=Languages!A3,Languages!A281,Languages!B281)</f>
        <v>I&amp;I LD Multi-component-system</v>
      </c>
      <c r="B153" s="353">
        <v>70000</v>
      </c>
      <c r="C153" s="353">
        <v>1.75</v>
      </c>
      <c r="D153" s="353">
        <v>1.75</v>
      </c>
      <c r="E153" s="437"/>
      <c r="F153" s="353">
        <v>1</v>
      </c>
      <c r="G153" s="438"/>
      <c r="H153" s="438"/>
      <c r="I153" s="353">
        <v>80000</v>
      </c>
      <c r="J153" s="353">
        <v>2.5</v>
      </c>
      <c r="K153" s="353">
        <v>2.5</v>
      </c>
      <c r="L153" s="353">
        <v>1</v>
      </c>
      <c r="M153" s="353">
        <v>100000</v>
      </c>
      <c r="N153" s="353">
        <v>3.75</v>
      </c>
      <c r="O153" s="353">
        <v>3.75</v>
      </c>
      <c r="P153" s="353">
        <v>1</v>
      </c>
      <c r="Q153" s="353">
        <v>50000</v>
      </c>
      <c r="R153" s="353">
        <v>1.25</v>
      </c>
      <c r="S153" s="353">
        <v>1.25</v>
      </c>
      <c r="T153" s="353">
        <v>0.5</v>
      </c>
      <c r="U153" s="353">
        <v>60000</v>
      </c>
      <c r="V153" s="353">
        <v>1.75</v>
      </c>
      <c r="W153" s="353">
        <v>1.75</v>
      </c>
      <c r="X153" s="353">
        <v>0.5</v>
      </c>
      <c r="Y153" s="353">
        <v>75000</v>
      </c>
      <c r="Z153" s="353">
        <v>2.5</v>
      </c>
      <c r="AA153" s="353">
        <v>2.5</v>
      </c>
      <c r="AB153" s="353">
        <v>0.5</v>
      </c>
      <c r="AC153" s="353">
        <v>90000</v>
      </c>
      <c r="AD153" s="353">
        <v>2.5</v>
      </c>
      <c r="AE153" s="353">
        <v>2.5</v>
      </c>
      <c r="AF153" s="353">
        <v>1.5</v>
      </c>
      <c r="AG153" s="353">
        <v>100000</v>
      </c>
      <c r="AH153" s="353">
        <v>3.75</v>
      </c>
      <c r="AI153" s="353">
        <v>3.75</v>
      </c>
      <c r="AJ153" s="353">
        <v>1.5</v>
      </c>
      <c r="AK153" s="353">
        <v>120000</v>
      </c>
      <c r="AL153" s="353">
        <v>4.8</v>
      </c>
      <c r="AM153" s="353">
        <v>4.8</v>
      </c>
      <c r="AN153" s="353">
        <v>1.5</v>
      </c>
    </row>
    <row r="154" spans="1:40" ht="14" thickBot="1" x14ac:dyDescent="0.2">
      <c r="B154" s="494">
        <v>2</v>
      </c>
      <c r="C154" s="494">
        <v>3</v>
      </c>
      <c r="D154" s="494">
        <v>4</v>
      </c>
      <c r="E154" s="494">
        <v>5</v>
      </c>
      <c r="F154" s="494">
        <v>6</v>
      </c>
      <c r="G154" s="494">
        <v>7</v>
      </c>
      <c r="H154" s="494">
        <v>8</v>
      </c>
      <c r="I154" s="494">
        <v>9</v>
      </c>
      <c r="J154" s="494">
        <v>10</v>
      </c>
      <c r="K154" s="494">
        <v>11</v>
      </c>
      <c r="L154" s="494">
        <v>12</v>
      </c>
      <c r="M154" s="494">
        <v>13</v>
      </c>
      <c r="N154" s="494">
        <v>14</v>
      </c>
      <c r="O154" s="494">
        <v>15</v>
      </c>
      <c r="P154" s="494">
        <v>16</v>
      </c>
      <c r="Q154" s="494">
        <v>17</v>
      </c>
      <c r="R154" s="494">
        <v>18</v>
      </c>
      <c r="S154" s="494">
        <v>19</v>
      </c>
      <c r="T154" s="494">
        <v>20</v>
      </c>
      <c r="U154" s="494">
        <v>21</v>
      </c>
      <c r="V154" s="494">
        <v>22</v>
      </c>
      <c r="W154" s="494">
        <v>23</v>
      </c>
      <c r="X154" s="494">
        <v>24</v>
      </c>
      <c r="Y154" s="494">
        <v>25</v>
      </c>
      <c r="Z154" s="494">
        <v>26</v>
      </c>
      <c r="AA154" s="494">
        <v>27</v>
      </c>
      <c r="AB154" s="494">
        <v>28</v>
      </c>
      <c r="AC154" s="494">
        <v>29</v>
      </c>
      <c r="AD154" s="494">
        <v>30</v>
      </c>
      <c r="AE154" s="494">
        <v>31</v>
      </c>
      <c r="AF154" s="494">
        <v>32</v>
      </c>
      <c r="AG154" s="494">
        <v>33</v>
      </c>
      <c r="AH154" s="494">
        <v>34</v>
      </c>
      <c r="AI154" s="494">
        <v>35</v>
      </c>
      <c r="AJ154" s="494">
        <v>36</v>
      </c>
      <c r="AK154" s="494">
        <v>37</v>
      </c>
      <c r="AL154" s="494">
        <v>38</v>
      </c>
      <c r="AM154" s="494">
        <v>39</v>
      </c>
      <c r="AN154" s="494">
        <v>40</v>
      </c>
    </row>
    <row r="155" spans="1:40" x14ac:dyDescent="0.15">
      <c r="A155" s="10" t="s">
        <v>744</v>
      </c>
      <c r="L155" s="9"/>
    </row>
    <row r="156" spans="1:40" x14ac:dyDescent="0.15">
      <c r="A156" s="233" t="str">
        <f>IF(Product!$C$2=Languages!A3,Languages!A286,Languages!B286)</f>
        <v>for private use</v>
      </c>
      <c r="L156" s="9"/>
    </row>
    <row r="157" spans="1:40" x14ac:dyDescent="0.15">
      <c r="A157" s="233" t="str">
        <f>IF(Product!$C$2=Languages!A3,Languages!A287,Languages!B287)</f>
        <v>for professional use</v>
      </c>
      <c r="L157" s="9"/>
    </row>
    <row r="158" spans="1:40" ht="14" thickBot="1" x14ac:dyDescent="0.2">
      <c r="A158" s="234" t="str">
        <f>IF(Product!$C$2=Languages!A3,Languages!A288,Languages!B288)</f>
        <v>for private and professional use</v>
      </c>
      <c r="L158" s="9"/>
    </row>
    <row r="159" spans="1:40" ht="14" thickBot="1" x14ac:dyDescent="0.2">
      <c r="L159" s="9"/>
    </row>
    <row r="160" spans="1:40" x14ac:dyDescent="0.15">
      <c r="A160" s="10" t="s">
        <v>760</v>
      </c>
      <c r="L160" s="9"/>
    </row>
    <row r="161" spans="1:12" x14ac:dyDescent="0.15">
      <c r="A161" s="233" t="str">
        <f>IF(Product!$C$2=Languages!A3,Languages!A303,Languages!B303)</f>
        <v>HSC: RTU product</v>
      </c>
      <c r="L161" s="9"/>
    </row>
    <row r="162" spans="1:12" x14ac:dyDescent="0.15">
      <c r="A162" s="233" t="str">
        <f>IF(Product!$C$2=Languages!A3,Languages!A304,Languages!B304)</f>
        <v>HSC: g/l cleaning solution</v>
      </c>
      <c r="L162" s="9"/>
    </row>
    <row r="163" spans="1:12" x14ac:dyDescent="0.15">
      <c r="A163" s="233" t="str">
        <f>IF(Product!$C$2=Languages!A3,Languages!A305,Languages!B305)</f>
        <v>HSC: ml/l cleaning solution</v>
      </c>
      <c r="L163" s="9"/>
    </row>
    <row r="164" spans="1:12" x14ac:dyDescent="0.15">
      <c r="A164" s="233" t="str">
        <f>IF(Product!$C$2=Languages!A3,Languages!A306,Languages!B306)</f>
        <v>HDD: g/l washing water</v>
      </c>
      <c r="L164" s="9"/>
    </row>
    <row r="165" spans="1:12" x14ac:dyDescent="0.15">
      <c r="A165" s="233" t="str">
        <f>IF(Product!$C$2=Languages!A3,Languages!A307,Languages!B307)</f>
        <v>HDD: ml/l washing water</v>
      </c>
      <c r="L165" s="9"/>
    </row>
    <row r="166" spans="1:12" x14ac:dyDescent="0.15">
      <c r="A166" s="233" t="str">
        <f>IF(Product!$C$2=Languages!A3,Languages!A308,Languages!B308)</f>
        <v>LD: g/kg Laundry</v>
      </c>
      <c r="L166" s="9"/>
    </row>
    <row r="167" spans="1:12" x14ac:dyDescent="0.15">
      <c r="A167" s="233" t="str">
        <f>IF(Product!$C$2=Languages!A3,Languages!A309,Languages!B309)</f>
        <v>LD: ml/kg Laundry</v>
      </c>
      <c r="L167" s="9"/>
    </row>
    <row r="168" spans="1:12" x14ac:dyDescent="0.15">
      <c r="A168" s="233" t="str">
        <f>IF(Product!$C$2=Languages!A3,Languages!A310,Languages!B310)</f>
        <v>DD: g/wash</v>
      </c>
      <c r="L168" s="9"/>
    </row>
    <row r="169" spans="1:12" x14ac:dyDescent="0.15">
      <c r="A169" s="233" t="str">
        <f>IF(Product!$C$2=Languages!A3,Languages!A311,Languages!B311)</f>
        <v>DD: ml/wash</v>
      </c>
      <c r="L169" s="9"/>
    </row>
    <row r="170" spans="1:12" x14ac:dyDescent="0.15">
      <c r="A170" s="233" t="str">
        <f>IF(Product!$C$2=Languages!A3,Languages!A312,Languages!B312)</f>
        <v>I&amp;I DD: g/l washing solution</v>
      </c>
      <c r="L170" s="9"/>
    </row>
    <row r="171" spans="1:12" x14ac:dyDescent="0.15">
      <c r="A171" s="233" t="str">
        <f>IF(Product!$C$2=Languages!A3,Languages!A313,Languages!B313)</f>
        <v>I&amp;I DD: ml/l washing solution</v>
      </c>
      <c r="L171" s="9"/>
    </row>
    <row r="172" spans="1:12" x14ac:dyDescent="0.15">
      <c r="A172" s="233" t="str">
        <f>IF(Product!$C$2=Languages!A3,Languages!A314,Languages!B314)</f>
        <v>I&amp;I LD: g/kg Laundry</v>
      </c>
      <c r="L172" s="9"/>
    </row>
    <row r="173" spans="1:12" ht="14" thickBot="1" x14ac:dyDescent="0.2">
      <c r="A173" s="234" t="str">
        <f>IF(Product!$C$2=Languages!A3,Languages!A315,Languages!B315)</f>
        <v>I&amp;I LD: ml/kg Laundry</v>
      </c>
      <c r="L173" s="9"/>
    </row>
    <row r="174" spans="1:12" ht="14" thickBot="1" x14ac:dyDescent="0.2">
      <c r="L174" s="9"/>
    </row>
    <row r="175" spans="1:12" x14ac:dyDescent="0.15">
      <c r="A175" s="232" t="s">
        <v>848</v>
      </c>
      <c r="L175" s="9"/>
    </row>
    <row r="176" spans="1:12" x14ac:dyDescent="0.15">
      <c r="A176" s="233" t="str">
        <f>IF(Product!$C$2=Languages!A3,Languages!A321,Languages!B321)</f>
        <v>Only for HSC (RTU): trigger spray</v>
      </c>
      <c r="L176" s="9"/>
    </row>
    <row r="177" spans="1:12" x14ac:dyDescent="0.15">
      <c r="A177" s="233" t="str">
        <f>IF(Product!$C$2=Languages!A3,Languages!A322,Languages!B322)</f>
        <v>Only for HSC: Undiluted product for the sole purpose of refilling trigger sprays</v>
      </c>
      <c r="L177" s="9"/>
    </row>
    <row r="178" spans="1:12" ht="14" thickBot="1" x14ac:dyDescent="0.2">
      <c r="A178" s="234" t="str">
        <f>IF(Product!$C$2=Languages!A3,Languages!A323,Languages!B323)</f>
        <v>Only for LD: Liquid/gel laundry detergents (in tablets or capsules)</v>
      </c>
      <c r="L178" s="9"/>
    </row>
    <row r="179" spans="1:12" x14ac:dyDescent="0.15">
      <c r="L179" s="9"/>
    </row>
  </sheetData>
  <sheetProtection password="CC13" sheet="1" objects="1" scenarios="1" selectLockedCells="1" selectUnlockedCells="1"/>
  <mergeCells count="12">
    <mergeCell ref="I128:P128"/>
    <mergeCell ref="U141:X141"/>
    <mergeCell ref="Y141:AB141"/>
    <mergeCell ref="Q141:T141"/>
    <mergeCell ref="Q139:AB139"/>
    <mergeCell ref="M130:P130"/>
    <mergeCell ref="B130:F130"/>
    <mergeCell ref="I130:L130"/>
    <mergeCell ref="AC139:AN139"/>
    <mergeCell ref="AC141:AF141"/>
    <mergeCell ref="AG141:AJ141"/>
    <mergeCell ref="AK141:AN141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7"/>
  <sheetViews>
    <sheetView zoomScaleNormal="100" workbookViewId="0">
      <selection activeCell="E12" sqref="E12"/>
    </sheetView>
  </sheetViews>
  <sheetFormatPr baseColWidth="10" defaultColWidth="11.5" defaultRowHeight="13" x14ac:dyDescent="0.15"/>
  <cols>
    <col min="1" max="1" width="5.5" customWidth="1"/>
    <col min="2" max="2" width="33.5" customWidth="1"/>
    <col min="3" max="3" width="30" customWidth="1"/>
    <col min="4" max="4" width="26.33203125" customWidth="1"/>
    <col min="5" max="5" width="18.5" bestFit="1" customWidth="1"/>
    <col min="6" max="6" width="16.1640625" customWidth="1"/>
    <col min="8" max="8" width="39.1640625" customWidth="1"/>
  </cols>
  <sheetData>
    <row r="1" spans="1:13" ht="21" customHeight="1" x14ac:dyDescent="0.2">
      <c r="A1" s="158"/>
      <c r="B1" s="239"/>
      <c r="C1" s="17"/>
      <c r="D1" s="16"/>
      <c r="E1" s="665" t="str">
        <f>Product!G1</f>
        <v>COMMISSION DECISION</v>
      </c>
      <c r="F1" s="666"/>
      <c r="G1" s="684">
        <f>Product!I1</f>
        <v>0</v>
      </c>
      <c r="H1" s="685"/>
      <c r="I1" s="18"/>
      <c r="J1" s="18"/>
      <c r="K1" s="18"/>
      <c r="L1" s="18"/>
      <c r="M1" s="18"/>
    </row>
    <row r="2" spans="1:13" ht="16" x14ac:dyDescent="0.2">
      <c r="A2" s="158"/>
      <c r="B2" s="239"/>
      <c r="C2" s="310"/>
      <c r="D2" s="16"/>
      <c r="E2" s="20"/>
      <c r="F2" s="108"/>
      <c r="G2" s="18"/>
      <c r="H2" s="295" t="str">
        <f>Product!I2</f>
        <v>Template March 2020</v>
      </c>
      <c r="I2" s="18"/>
      <c r="J2" s="18"/>
      <c r="K2" s="18"/>
      <c r="L2" s="18"/>
      <c r="M2" s="18"/>
    </row>
    <row r="3" spans="1:13" ht="16" x14ac:dyDescent="0.2">
      <c r="A3" s="158"/>
      <c r="B3" s="239"/>
      <c r="C3" s="239"/>
      <c r="D3" s="239"/>
      <c r="E3" s="239"/>
      <c r="F3" s="20"/>
      <c r="G3" s="237" t="str">
        <f>Product!H4</f>
        <v>Date:</v>
      </c>
      <c r="H3" s="311">
        <f>Product!I4</f>
        <v>0</v>
      </c>
      <c r="I3" s="18"/>
      <c r="J3" s="18"/>
      <c r="K3" s="18"/>
      <c r="L3" s="18"/>
      <c r="M3" s="18"/>
    </row>
    <row r="4" spans="1:13" ht="16" x14ac:dyDescent="0.2">
      <c r="A4" s="670" t="str">
        <f>Product!A4</f>
        <v>Contract number:</v>
      </c>
      <c r="B4" s="671"/>
      <c r="C4" s="681">
        <f>Product!C4</f>
        <v>0</v>
      </c>
      <c r="D4" s="682"/>
      <c r="E4" s="683"/>
      <c r="F4" s="20"/>
      <c r="G4" s="237" t="str">
        <f>Product!H5</f>
        <v>Version:</v>
      </c>
      <c r="H4" s="312">
        <f>Product!I5</f>
        <v>0</v>
      </c>
      <c r="I4" s="18"/>
      <c r="J4" s="18"/>
      <c r="K4" s="18"/>
      <c r="L4" s="18"/>
      <c r="M4" s="18"/>
    </row>
    <row r="5" spans="1:13" ht="16" x14ac:dyDescent="0.2">
      <c r="A5" s="670" t="str">
        <f>Product!A5</f>
        <v>Licence Holder:</v>
      </c>
      <c r="B5" s="671"/>
      <c r="C5" s="681">
        <f>Product!C5</f>
        <v>0</v>
      </c>
      <c r="D5" s="682"/>
      <c r="E5" s="683"/>
      <c r="F5" s="21"/>
      <c r="G5" s="21"/>
      <c r="H5" s="18"/>
      <c r="I5" s="18"/>
      <c r="J5" s="18"/>
      <c r="K5" s="18"/>
      <c r="L5" s="18"/>
      <c r="M5" s="18"/>
    </row>
    <row r="6" spans="1:13" ht="16" x14ac:dyDescent="0.2">
      <c r="A6" s="670" t="str">
        <f>Product!A6</f>
        <v>Distributor / Product name (Country):</v>
      </c>
      <c r="B6" s="671"/>
      <c r="C6" s="681">
        <f>Product!C6</f>
        <v>0</v>
      </c>
      <c r="D6" s="682"/>
      <c r="E6" s="683"/>
      <c r="F6" s="690"/>
      <c r="G6" s="691"/>
      <c r="H6" s="691"/>
      <c r="I6" s="18"/>
      <c r="J6" s="18"/>
      <c r="K6" s="18"/>
      <c r="L6" s="18"/>
      <c r="M6" s="18"/>
    </row>
    <row r="7" spans="1:13" ht="16" x14ac:dyDescent="0.2">
      <c r="A7" s="670" t="str">
        <f>Product!A22</f>
        <v>Type of product:</v>
      </c>
      <c r="B7" s="671"/>
      <c r="C7" s="681">
        <f>Product!C22</f>
        <v>0</v>
      </c>
      <c r="D7" s="682"/>
      <c r="E7" s="683"/>
      <c r="F7" s="19"/>
      <c r="G7" s="19"/>
      <c r="H7" s="19"/>
      <c r="I7" s="18"/>
      <c r="J7" s="18"/>
      <c r="K7" s="18"/>
      <c r="L7" s="18"/>
      <c r="M7" s="18"/>
    </row>
    <row r="8" spans="1:13" ht="16" x14ac:dyDescent="0.2">
      <c r="A8" s="670" t="str">
        <f>Product!A24</f>
        <v>Form of product:</v>
      </c>
      <c r="B8" s="671"/>
      <c r="C8" s="681">
        <f>Product!C24</f>
        <v>0</v>
      </c>
      <c r="D8" s="682"/>
      <c r="E8" s="683"/>
      <c r="F8" s="19"/>
      <c r="G8" s="9"/>
      <c r="H8" s="18"/>
      <c r="I8" s="18"/>
      <c r="J8" s="18"/>
      <c r="K8" s="18"/>
      <c r="L8" s="18"/>
      <c r="M8" s="18"/>
    </row>
    <row r="9" spans="1:13" ht="16" x14ac:dyDescent="0.2">
      <c r="A9" s="16"/>
      <c r="B9" s="24"/>
      <c r="C9" s="16"/>
      <c r="D9" s="22"/>
      <c r="E9" s="16"/>
      <c r="F9" s="18"/>
      <c r="G9" s="18"/>
      <c r="H9" s="23"/>
      <c r="I9" s="18"/>
      <c r="J9" s="18"/>
      <c r="K9" s="18"/>
      <c r="L9" s="18"/>
      <c r="M9" s="18"/>
    </row>
    <row r="10" spans="1:13" ht="25.5" customHeight="1" x14ac:dyDescent="0.2">
      <c r="A10" s="25" t="str">
        <f>IF(Product!$C$2=Languages!A3,Languages!A10,Languages!B10)</f>
        <v>cons.</v>
      </c>
      <c r="B10" s="66" t="str">
        <f>IF(Product!$C$2=Languages!A3,Languages!A12,Languages!B12)</f>
        <v>Trade name</v>
      </c>
      <c r="C10" s="25" t="str">
        <f>IF(Product!$C$2=Languages!A3,Languages!A13,Languages!B13)</f>
        <v>Manufacturer/retailer</v>
      </c>
      <c r="D10" s="217" t="str">
        <f>IF(Product!$C$2=Languages!A3,Languages!A14,Languages!B14)</f>
        <v>Function</v>
      </c>
      <c r="E10" s="26" t="str">
        <f>IF(Product!$C$2=Languages!A3,Languages!A16,Languages!B16)</f>
        <v>weight in the formulation in</v>
      </c>
      <c r="F10" s="69" t="str">
        <f>IF(Product!$C$2=Languages!A3,Languages!A18,Languages!B18)</f>
        <v>Supplier declaration</v>
      </c>
      <c r="G10" s="25" t="str">
        <f>IF(Product!$C$2=Languages!A3,Languages!A20,Languages!B20)</f>
        <v>SDS</v>
      </c>
      <c r="H10" s="72" t="str">
        <f>IF(Product!$C$2=Languages!A3,Languages!A21,Languages!B21)</f>
        <v>Hazard Statement (1)</v>
      </c>
      <c r="I10" s="18"/>
      <c r="J10" s="18"/>
      <c r="K10" s="18"/>
      <c r="L10" s="18"/>
      <c r="M10" s="18"/>
    </row>
    <row r="11" spans="1:13" ht="29.25" customHeight="1" x14ac:dyDescent="0.2">
      <c r="A11" s="27" t="str">
        <f>IF(Product!$C$2=Languages!A3,Languages!A11,Languages!B11)</f>
        <v>no:</v>
      </c>
      <c r="B11" s="67"/>
      <c r="C11" s="27"/>
      <c r="D11" s="258" t="str">
        <f>IF(Product!$C$2=Languages!A3,Languages!A15,Languages!B15)</f>
        <v>(please select or fill-in)</v>
      </c>
      <c r="E11" s="28" t="str">
        <f>IF(Product!$C$2=Languages!A3,Languages!A17,Languages!B17)</f>
        <v>mass-% (=g/100g product)</v>
      </c>
      <c r="F11" s="70" t="str">
        <f>IF(Product!$C$2=Languages!A3,Languages!A19,Languages!B19)</f>
        <v>added?</v>
      </c>
      <c r="G11" s="70" t="str">
        <f>IF(Product!$C$2=Languages!A3,Languages!A19,Languages!B19)</f>
        <v>added?</v>
      </c>
      <c r="H11" s="27"/>
      <c r="I11" s="18"/>
      <c r="J11" s="18"/>
      <c r="K11" s="18"/>
      <c r="L11" s="18"/>
      <c r="M11" s="18"/>
    </row>
    <row r="12" spans="1:13" ht="16" x14ac:dyDescent="0.2">
      <c r="A12" s="68">
        <v>1</v>
      </c>
      <c r="B12" s="30" t="str">
        <f>IF(Product!$C$2=Languages!A3,Languages!A23,Languages!B23)</f>
        <v>water</v>
      </c>
      <c r="C12" s="31"/>
      <c r="D12" s="30"/>
      <c r="E12" s="102"/>
      <c r="F12" s="31" t="s">
        <v>7</v>
      </c>
      <c r="G12" s="159" t="s">
        <v>7</v>
      </c>
      <c r="H12" s="31" t="s">
        <v>7</v>
      </c>
      <c r="I12" s="18"/>
      <c r="J12" s="18"/>
      <c r="K12" s="18"/>
      <c r="L12" s="18"/>
      <c r="M12" s="18"/>
    </row>
    <row r="13" spans="1:13" ht="16" x14ac:dyDescent="0.2">
      <c r="A13" s="29">
        <v>2</v>
      </c>
      <c r="B13" s="90"/>
      <c r="C13" s="82"/>
      <c r="D13" s="90"/>
      <c r="E13" s="102"/>
      <c r="F13" s="81"/>
      <c r="G13" s="81"/>
      <c r="H13" s="90"/>
      <c r="I13" s="18"/>
      <c r="J13" s="18"/>
      <c r="K13" s="18"/>
      <c r="L13" s="18"/>
      <c r="M13" s="18"/>
    </row>
    <row r="14" spans="1:13" ht="16" x14ac:dyDescent="0.2">
      <c r="A14" s="29">
        <v>3</v>
      </c>
      <c r="B14" s="90"/>
      <c r="C14" s="82"/>
      <c r="D14" s="90"/>
      <c r="E14" s="102"/>
      <c r="F14" s="81"/>
      <c r="G14" s="81"/>
      <c r="H14" s="90"/>
      <c r="I14" s="18"/>
      <c r="J14" s="18"/>
      <c r="K14" s="18"/>
      <c r="L14" s="18"/>
      <c r="M14" s="18"/>
    </row>
    <row r="15" spans="1:13" ht="16" x14ac:dyDescent="0.2">
      <c r="A15" s="29">
        <v>4</v>
      </c>
      <c r="B15" s="90"/>
      <c r="C15" s="82"/>
      <c r="D15" s="90"/>
      <c r="E15" s="102"/>
      <c r="F15" s="81"/>
      <c r="G15" s="81"/>
      <c r="H15" s="90"/>
      <c r="I15" s="18"/>
      <c r="J15" s="18"/>
      <c r="K15" s="18"/>
      <c r="L15" s="18"/>
      <c r="M15" s="18"/>
    </row>
    <row r="16" spans="1:13" ht="16" x14ac:dyDescent="0.2">
      <c r="A16" s="29">
        <v>5</v>
      </c>
      <c r="B16" s="90"/>
      <c r="C16" s="82"/>
      <c r="D16" s="90"/>
      <c r="E16" s="102"/>
      <c r="F16" s="81"/>
      <c r="G16" s="81"/>
      <c r="H16" s="90"/>
      <c r="I16" s="18"/>
      <c r="J16" s="18"/>
      <c r="K16" s="18"/>
      <c r="L16" s="18"/>
      <c r="M16" s="18"/>
    </row>
    <row r="17" spans="1:13" ht="16" x14ac:dyDescent="0.2">
      <c r="A17" s="29">
        <v>6</v>
      </c>
      <c r="B17" s="90"/>
      <c r="C17" s="82"/>
      <c r="D17" s="90"/>
      <c r="E17" s="102"/>
      <c r="F17" s="81"/>
      <c r="G17" s="81"/>
      <c r="H17" s="90"/>
      <c r="I17" s="18"/>
      <c r="J17" s="18"/>
      <c r="K17" s="18"/>
      <c r="L17" s="18"/>
      <c r="M17" s="18"/>
    </row>
    <row r="18" spans="1:13" ht="16" x14ac:dyDescent="0.2">
      <c r="A18" s="29">
        <v>7</v>
      </c>
      <c r="B18" s="90"/>
      <c r="C18" s="82"/>
      <c r="D18" s="90"/>
      <c r="E18" s="102"/>
      <c r="F18" s="81"/>
      <c r="G18" s="81"/>
      <c r="H18" s="90"/>
      <c r="I18" s="18"/>
      <c r="J18" s="18"/>
      <c r="K18" s="18"/>
      <c r="L18" s="18"/>
      <c r="M18" s="18"/>
    </row>
    <row r="19" spans="1:13" ht="16" x14ac:dyDescent="0.2">
      <c r="A19" s="29">
        <v>8</v>
      </c>
      <c r="B19" s="90"/>
      <c r="C19" s="82"/>
      <c r="D19" s="90"/>
      <c r="E19" s="102"/>
      <c r="F19" s="81"/>
      <c r="G19" s="81"/>
      <c r="H19" s="90"/>
      <c r="I19" s="18"/>
      <c r="J19" s="18"/>
      <c r="K19" s="18"/>
      <c r="L19" s="18"/>
      <c r="M19" s="18"/>
    </row>
    <row r="20" spans="1:13" ht="16" x14ac:dyDescent="0.2">
      <c r="A20" s="29">
        <v>9</v>
      </c>
      <c r="B20" s="90"/>
      <c r="C20" s="82"/>
      <c r="D20" s="90"/>
      <c r="E20" s="102"/>
      <c r="F20" s="81"/>
      <c r="G20" s="81"/>
      <c r="H20" s="90"/>
      <c r="I20" s="18"/>
      <c r="J20" s="18"/>
      <c r="K20" s="18"/>
      <c r="L20" s="18"/>
      <c r="M20" s="18"/>
    </row>
    <row r="21" spans="1:13" ht="16" x14ac:dyDescent="0.2">
      <c r="A21" s="29">
        <v>10</v>
      </c>
      <c r="B21" s="82"/>
      <c r="C21" s="82"/>
      <c r="D21" s="90"/>
      <c r="E21" s="102"/>
      <c r="F21" s="81"/>
      <c r="G21" s="81"/>
      <c r="H21" s="90"/>
      <c r="I21" s="18"/>
      <c r="J21" s="18"/>
      <c r="K21" s="18"/>
      <c r="L21" s="18"/>
      <c r="M21" s="18"/>
    </row>
    <row r="22" spans="1:13" ht="16" x14ac:dyDescent="0.2">
      <c r="A22" s="29">
        <v>11</v>
      </c>
      <c r="B22" s="82"/>
      <c r="C22" s="82"/>
      <c r="D22" s="90"/>
      <c r="E22" s="102"/>
      <c r="F22" s="81"/>
      <c r="G22" s="81"/>
      <c r="H22" s="90"/>
      <c r="I22" s="18"/>
      <c r="J22" s="18"/>
      <c r="K22" s="18"/>
      <c r="L22" s="18"/>
      <c r="M22" s="18"/>
    </row>
    <row r="23" spans="1:13" ht="16" x14ac:dyDescent="0.2">
      <c r="A23" s="29">
        <v>12</v>
      </c>
      <c r="B23" s="82"/>
      <c r="C23" s="82"/>
      <c r="D23" s="90"/>
      <c r="E23" s="102"/>
      <c r="F23" s="81"/>
      <c r="G23" s="81"/>
      <c r="H23" s="90"/>
      <c r="I23" s="18"/>
      <c r="J23" s="18"/>
      <c r="K23" s="18"/>
      <c r="L23" s="18"/>
      <c r="M23" s="18"/>
    </row>
    <row r="24" spans="1:13" ht="16" x14ac:dyDescent="0.2">
      <c r="A24" s="29">
        <v>13</v>
      </c>
      <c r="B24" s="82"/>
      <c r="C24" s="82"/>
      <c r="D24" s="90"/>
      <c r="E24" s="102"/>
      <c r="F24" s="81"/>
      <c r="G24" s="81"/>
      <c r="H24" s="90"/>
      <c r="I24" s="18"/>
      <c r="J24" s="18"/>
      <c r="K24" s="18"/>
      <c r="L24" s="18"/>
      <c r="M24" s="18"/>
    </row>
    <row r="25" spans="1:13" ht="16" x14ac:dyDescent="0.2">
      <c r="A25" s="29">
        <v>14</v>
      </c>
      <c r="B25" s="82"/>
      <c r="C25" s="82"/>
      <c r="D25" s="90"/>
      <c r="E25" s="102"/>
      <c r="F25" s="81"/>
      <c r="G25" s="81"/>
      <c r="H25" s="90"/>
      <c r="I25" s="18"/>
      <c r="J25" s="18"/>
      <c r="K25" s="18"/>
      <c r="L25" s="18"/>
      <c r="M25" s="18"/>
    </row>
    <row r="26" spans="1:13" ht="16" x14ac:dyDescent="0.2">
      <c r="A26" s="29">
        <v>15</v>
      </c>
      <c r="B26" s="82"/>
      <c r="C26" s="82"/>
      <c r="D26" s="90"/>
      <c r="E26" s="102"/>
      <c r="F26" s="81"/>
      <c r="G26" s="81"/>
      <c r="H26" s="90"/>
      <c r="I26" s="18"/>
      <c r="J26" s="18"/>
      <c r="K26" s="18"/>
      <c r="L26" s="18"/>
      <c r="M26" s="18"/>
    </row>
    <row r="27" spans="1:13" ht="16" x14ac:dyDescent="0.2">
      <c r="A27" s="29">
        <v>16</v>
      </c>
      <c r="B27" s="82"/>
      <c r="C27" s="82"/>
      <c r="D27" s="90"/>
      <c r="E27" s="102"/>
      <c r="F27" s="81"/>
      <c r="G27" s="81"/>
      <c r="H27" s="90"/>
      <c r="I27" s="18"/>
      <c r="J27" s="18"/>
      <c r="K27" s="18"/>
      <c r="L27" s="18"/>
      <c r="M27" s="18"/>
    </row>
    <row r="28" spans="1:13" ht="16" x14ac:dyDescent="0.2">
      <c r="A28" s="29">
        <v>17</v>
      </c>
      <c r="B28" s="82"/>
      <c r="C28" s="82"/>
      <c r="D28" s="90"/>
      <c r="E28" s="102"/>
      <c r="F28" s="81"/>
      <c r="G28" s="81"/>
      <c r="H28" s="90"/>
      <c r="I28" s="18"/>
      <c r="J28" s="18"/>
      <c r="K28" s="18"/>
      <c r="L28" s="18"/>
      <c r="M28" s="18"/>
    </row>
    <row r="29" spans="1:13" ht="16" x14ac:dyDescent="0.2">
      <c r="A29" s="29">
        <v>18</v>
      </c>
      <c r="B29" s="82"/>
      <c r="C29" s="82"/>
      <c r="D29" s="90"/>
      <c r="E29" s="102"/>
      <c r="F29" s="81"/>
      <c r="G29" s="81"/>
      <c r="H29" s="90"/>
      <c r="I29" s="18"/>
      <c r="J29" s="18"/>
      <c r="K29" s="18"/>
      <c r="L29" s="18"/>
      <c r="M29" s="18"/>
    </row>
    <row r="30" spans="1:13" ht="16" x14ac:dyDescent="0.2">
      <c r="A30" s="29">
        <v>19</v>
      </c>
      <c r="B30" s="82"/>
      <c r="C30" s="82"/>
      <c r="D30" s="90"/>
      <c r="E30" s="102"/>
      <c r="F30" s="81"/>
      <c r="G30" s="81"/>
      <c r="H30" s="90"/>
      <c r="I30" s="18"/>
      <c r="J30" s="18"/>
      <c r="K30" s="18"/>
      <c r="L30" s="18"/>
      <c r="M30" s="18"/>
    </row>
    <row r="31" spans="1:13" ht="16" x14ac:dyDescent="0.2">
      <c r="A31" s="29">
        <v>20</v>
      </c>
      <c r="B31" s="82"/>
      <c r="C31" s="82"/>
      <c r="D31" s="90"/>
      <c r="E31" s="102"/>
      <c r="F31" s="81"/>
      <c r="G31" s="81"/>
      <c r="H31" s="90"/>
      <c r="I31" s="18"/>
      <c r="J31" s="18"/>
      <c r="K31" s="18"/>
      <c r="L31" s="18"/>
      <c r="M31" s="18"/>
    </row>
    <row r="32" spans="1:13" ht="16" x14ac:dyDescent="0.2">
      <c r="A32" s="29">
        <v>21</v>
      </c>
      <c r="B32" s="82"/>
      <c r="C32" s="82"/>
      <c r="D32" s="90"/>
      <c r="E32" s="102"/>
      <c r="F32" s="81"/>
      <c r="G32" s="81"/>
      <c r="H32" s="90"/>
      <c r="I32" s="18"/>
      <c r="J32" s="18"/>
      <c r="K32" s="18"/>
      <c r="L32" s="18"/>
      <c r="M32" s="18"/>
    </row>
    <row r="33" spans="1:13" ht="16" x14ac:dyDescent="0.2">
      <c r="A33" s="29">
        <v>22</v>
      </c>
      <c r="B33" s="82"/>
      <c r="C33" s="82"/>
      <c r="D33" s="90"/>
      <c r="E33" s="102"/>
      <c r="F33" s="81"/>
      <c r="G33" s="81"/>
      <c r="H33" s="90"/>
      <c r="I33" s="18"/>
      <c r="J33" s="18"/>
      <c r="K33" s="18"/>
      <c r="L33" s="18"/>
      <c r="M33" s="18"/>
    </row>
    <row r="34" spans="1:13" ht="16" x14ac:dyDescent="0.2">
      <c r="A34" s="29">
        <v>23</v>
      </c>
      <c r="B34" s="82"/>
      <c r="C34" s="82"/>
      <c r="D34" s="90"/>
      <c r="E34" s="102"/>
      <c r="F34" s="81"/>
      <c r="G34" s="81"/>
      <c r="H34" s="90"/>
      <c r="I34" s="18"/>
      <c r="J34" s="18"/>
      <c r="K34" s="18"/>
      <c r="L34" s="18"/>
      <c r="M34" s="18"/>
    </row>
    <row r="35" spans="1:13" ht="16" x14ac:dyDescent="0.2">
      <c r="A35" s="29">
        <v>24</v>
      </c>
      <c r="B35" s="82"/>
      <c r="C35" s="82"/>
      <c r="D35" s="90"/>
      <c r="E35" s="102"/>
      <c r="F35" s="81"/>
      <c r="G35" s="81"/>
      <c r="H35" s="90"/>
      <c r="I35" s="18"/>
      <c r="J35" s="18"/>
      <c r="K35" s="18"/>
      <c r="L35" s="18"/>
      <c r="M35" s="18"/>
    </row>
    <row r="36" spans="1:13" ht="16" x14ac:dyDescent="0.2">
      <c r="A36" s="29">
        <v>25</v>
      </c>
      <c r="B36" s="82"/>
      <c r="C36" s="82"/>
      <c r="D36" s="90"/>
      <c r="E36" s="102"/>
      <c r="F36" s="81"/>
      <c r="G36" s="81"/>
      <c r="H36" s="90"/>
      <c r="I36" s="18"/>
      <c r="J36" s="18"/>
      <c r="K36" s="18"/>
      <c r="L36" s="18"/>
      <c r="M36" s="18"/>
    </row>
    <row r="37" spans="1:13" ht="16" x14ac:dyDescent="0.2">
      <c r="A37" s="29">
        <v>26</v>
      </c>
      <c r="B37" s="82"/>
      <c r="C37" s="82"/>
      <c r="D37" s="90"/>
      <c r="E37" s="102"/>
      <c r="F37" s="81"/>
      <c r="G37" s="81"/>
      <c r="H37" s="90"/>
      <c r="I37" s="18"/>
      <c r="J37" s="18"/>
      <c r="K37" s="18"/>
      <c r="L37" s="18"/>
      <c r="M37" s="18"/>
    </row>
    <row r="38" spans="1:13" ht="16" x14ac:dyDescent="0.2">
      <c r="A38" s="29">
        <v>27</v>
      </c>
      <c r="B38" s="82"/>
      <c r="C38" s="82"/>
      <c r="D38" s="90"/>
      <c r="E38" s="102"/>
      <c r="F38" s="81"/>
      <c r="G38" s="81"/>
      <c r="H38" s="90"/>
      <c r="I38" s="18"/>
      <c r="J38" s="18"/>
      <c r="K38" s="18"/>
      <c r="L38" s="18"/>
      <c r="M38" s="18"/>
    </row>
    <row r="39" spans="1:13" ht="16" x14ac:dyDescent="0.2">
      <c r="A39" s="29">
        <v>28</v>
      </c>
      <c r="B39" s="82"/>
      <c r="C39" s="82"/>
      <c r="D39" s="90"/>
      <c r="E39" s="102"/>
      <c r="F39" s="81"/>
      <c r="G39" s="81"/>
      <c r="H39" s="90"/>
      <c r="I39" s="18"/>
      <c r="J39" s="18"/>
      <c r="K39" s="18"/>
      <c r="L39" s="18"/>
      <c r="M39" s="18"/>
    </row>
    <row r="40" spans="1:13" ht="16" x14ac:dyDescent="0.2">
      <c r="A40" s="29">
        <v>29</v>
      </c>
      <c r="B40" s="82"/>
      <c r="C40" s="82"/>
      <c r="D40" s="90"/>
      <c r="E40" s="102"/>
      <c r="F40" s="81"/>
      <c r="G40" s="81"/>
      <c r="H40" s="90"/>
      <c r="I40" s="18"/>
      <c r="J40" s="18"/>
      <c r="K40" s="18"/>
      <c r="L40" s="18"/>
      <c r="M40" s="18"/>
    </row>
    <row r="41" spans="1:13" ht="16" x14ac:dyDescent="0.2">
      <c r="A41" s="29">
        <v>30</v>
      </c>
      <c r="B41" s="82"/>
      <c r="C41" s="82"/>
      <c r="D41" s="90"/>
      <c r="E41" s="102"/>
      <c r="F41" s="81"/>
      <c r="G41" s="81"/>
      <c r="H41" s="90"/>
      <c r="I41" s="18"/>
      <c r="J41" s="18"/>
      <c r="K41" s="18"/>
      <c r="L41" s="18"/>
      <c r="M41" s="18"/>
    </row>
    <row r="42" spans="1:13" ht="16" x14ac:dyDescent="0.2">
      <c r="A42" s="29">
        <v>31</v>
      </c>
      <c r="B42" s="82"/>
      <c r="C42" s="82"/>
      <c r="D42" s="90"/>
      <c r="E42" s="102"/>
      <c r="F42" s="81"/>
      <c r="G42" s="81"/>
      <c r="H42" s="90"/>
      <c r="I42" s="18"/>
      <c r="J42" s="18"/>
      <c r="K42" s="18"/>
      <c r="L42" s="18"/>
      <c r="M42" s="18"/>
    </row>
    <row r="43" spans="1:13" ht="16" x14ac:dyDescent="0.2">
      <c r="A43" s="29">
        <v>32</v>
      </c>
      <c r="B43" s="82"/>
      <c r="C43" s="82"/>
      <c r="D43" s="90"/>
      <c r="E43" s="102"/>
      <c r="F43" s="81"/>
      <c r="G43" s="81"/>
      <c r="H43" s="90"/>
      <c r="I43" s="18"/>
      <c r="J43" s="18"/>
      <c r="K43" s="18"/>
      <c r="L43" s="18"/>
      <c r="M43" s="18"/>
    </row>
    <row r="44" spans="1:13" ht="16" x14ac:dyDescent="0.2">
      <c r="A44" s="29">
        <v>33</v>
      </c>
      <c r="B44" s="82"/>
      <c r="C44" s="82"/>
      <c r="D44" s="90"/>
      <c r="E44" s="102"/>
      <c r="F44" s="81"/>
      <c r="G44" s="81"/>
      <c r="H44" s="90"/>
      <c r="I44" s="18"/>
      <c r="J44" s="18"/>
      <c r="K44" s="18"/>
      <c r="L44" s="18"/>
      <c r="M44" s="18"/>
    </row>
    <row r="45" spans="1:13" ht="16" x14ac:dyDescent="0.2">
      <c r="A45" s="29">
        <v>34</v>
      </c>
      <c r="B45" s="82"/>
      <c r="C45" s="82"/>
      <c r="D45" s="90"/>
      <c r="E45" s="102"/>
      <c r="F45" s="81"/>
      <c r="G45" s="81"/>
      <c r="H45" s="90"/>
      <c r="I45" s="18"/>
      <c r="J45" s="18"/>
      <c r="K45" s="18"/>
      <c r="L45" s="18"/>
      <c r="M45" s="18"/>
    </row>
    <row r="46" spans="1:13" ht="16" x14ac:dyDescent="0.2">
      <c r="A46" s="29">
        <v>35</v>
      </c>
      <c r="B46" s="82"/>
      <c r="C46" s="82"/>
      <c r="D46" s="90"/>
      <c r="E46" s="102"/>
      <c r="F46" s="81"/>
      <c r="G46" s="81"/>
      <c r="H46" s="90"/>
      <c r="I46" s="18"/>
      <c r="J46" s="18"/>
      <c r="K46" s="18"/>
      <c r="L46" s="18"/>
      <c r="M46" s="18"/>
    </row>
    <row r="47" spans="1:13" ht="16" x14ac:dyDescent="0.2">
      <c r="A47" s="29">
        <v>36</v>
      </c>
      <c r="B47" s="82"/>
      <c r="C47" s="82"/>
      <c r="D47" s="90"/>
      <c r="E47" s="102"/>
      <c r="F47" s="81"/>
      <c r="G47" s="81"/>
      <c r="H47" s="90"/>
      <c r="I47" s="18"/>
      <c r="J47" s="18"/>
      <c r="K47" s="18"/>
      <c r="L47" s="18"/>
      <c r="M47" s="18"/>
    </row>
    <row r="48" spans="1:13" ht="16" x14ac:dyDescent="0.2">
      <c r="A48" s="29">
        <v>37</v>
      </c>
      <c r="B48" s="82"/>
      <c r="C48" s="82"/>
      <c r="D48" s="90"/>
      <c r="E48" s="102"/>
      <c r="F48" s="81"/>
      <c r="G48" s="81"/>
      <c r="H48" s="90"/>
      <c r="I48" s="18"/>
      <c r="J48" s="18"/>
      <c r="K48" s="18"/>
      <c r="L48" s="18"/>
      <c r="M48" s="18"/>
    </row>
    <row r="49" spans="1:13" ht="16" x14ac:dyDescent="0.2">
      <c r="A49" s="29">
        <v>38</v>
      </c>
      <c r="B49" s="82"/>
      <c r="C49" s="82"/>
      <c r="D49" s="90"/>
      <c r="E49" s="102"/>
      <c r="F49" s="81"/>
      <c r="G49" s="81"/>
      <c r="H49" s="90"/>
      <c r="I49" s="18"/>
      <c r="J49" s="18"/>
      <c r="K49" s="18"/>
      <c r="L49" s="18"/>
      <c r="M49" s="18"/>
    </row>
    <row r="50" spans="1:13" ht="16" x14ac:dyDescent="0.2">
      <c r="A50" s="29">
        <v>39</v>
      </c>
      <c r="B50" s="82"/>
      <c r="C50" s="82"/>
      <c r="D50" s="90"/>
      <c r="E50" s="102"/>
      <c r="F50" s="81"/>
      <c r="G50" s="81"/>
      <c r="H50" s="90"/>
      <c r="I50" s="18"/>
      <c r="J50" s="18"/>
      <c r="K50" s="18"/>
      <c r="L50" s="18"/>
      <c r="M50" s="18"/>
    </row>
    <row r="51" spans="1:13" ht="16" x14ac:dyDescent="0.2">
      <c r="A51" s="29">
        <v>40</v>
      </c>
      <c r="B51" s="82"/>
      <c r="C51" s="82"/>
      <c r="D51" s="90"/>
      <c r="E51" s="102"/>
      <c r="F51" s="81"/>
      <c r="G51" s="81"/>
      <c r="H51" s="90"/>
      <c r="I51" s="18"/>
      <c r="J51" s="18"/>
      <c r="K51" s="18"/>
      <c r="L51" s="18"/>
      <c r="M51" s="18"/>
    </row>
    <row r="52" spans="1:13" ht="16" x14ac:dyDescent="0.2">
      <c r="A52" s="29">
        <v>41</v>
      </c>
      <c r="B52" s="82"/>
      <c r="C52" s="82"/>
      <c r="D52" s="90"/>
      <c r="E52" s="102"/>
      <c r="F52" s="81"/>
      <c r="G52" s="81"/>
      <c r="H52" s="90"/>
      <c r="I52" s="18"/>
      <c r="J52" s="18"/>
      <c r="K52" s="18"/>
      <c r="L52" s="18"/>
      <c r="M52" s="18"/>
    </row>
    <row r="53" spans="1:13" ht="16" x14ac:dyDescent="0.2">
      <c r="A53" s="29">
        <v>42</v>
      </c>
      <c r="B53" s="82"/>
      <c r="C53" s="82"/>
      <c r="D53" s="90"/>
      <c r="E53" s="102"/>
      <c r="F53" s="81"/>
      <c r="G53" s="81"/>
      <c r="H53" s="90"/>
      <c r="I53" s="18"/>
      <c r="J53" s="18"/>
      <c r="K53" s="18"/>
      <c r="L53" s="18"/>
      <c r="M53" s="18"/>
    </row>
    <row r="54" spans="1:13" ht="16" x14ac:dyDescent="0.2">
      <c r="A54" s="29">
        <v>43</v>
      </c>
      <c r="B54" s="82"/>
      <c r="C54" s="82"/>
      <c r="D54" s="90"/>
      <c r="E54" s="102"/>
      <c r="F54" s="81"/>
      <c r="G54" s="81"/>
      <c r="H54" s="90"/>
      <c r="I54" s="18"/>
      <c r="J54" s="18"/>
      <c r="K54" s="18"/>
      <c r="L54" s="18"/>
      <c r="M54" s="18"/>
    </row>
    <row r="55" spans="1:13" ht="16" x14ac:dyDescent="0.2">
      <c r="A55" s="29">
        <v>44</v>
      </c>
      <c r="B55" s="82"/>
      <c r="C55" s="82"/>
      <c r="D55" s="90"/>
      <c r="E55" s="102"/>
      <c r="F55" s="81"/>
      <c r="G55" s="81"/>
      <c r="H55" s="90"/>
      <c r="I55" s="18"/>
      <c r="J55" s="18"/>
      <c r="K55" s="18"/>
      <c r="L55" s="18"/>
      <c r="M55" s="18"/>
    </row>
    <row r="56" spans="1:13" ht="16" x14ac:dyDescent="0.2">
      <c r="A56" s="29">
        <v>45</v>
      </c>
      <c r="B56" s="82"/>
      <c r="C56" s="82"/>
      <c r="D56" s="90"/>
      <c r="E56" s="102"/>
      <c r="F56" s="81"/>
      <c r="G56" s="81"/>
      <c r="H56" s="90"/>
      <c r="I56" s="18"/>
      <c r="J56" s="18"/>
      <c r="K56" s="18"/>
      <c r="L56" s="18"/>
      <c r="M56" s="18"/>
    </row>
    <row r="57" spans="1:13" ht="16" x14ac:dyDescent="0.2">
      <c r="A57" s="29">
        <v>46</v>
      </c>
      <c r="B57" s="82"/>
      <c r="C57" s="82"/>
      <c r="D57" s="90"/>
      <c r="E57" s="102"/>
      <c r="F57" s="81"/>
      <c r="G57" s="81"/>
      <c r="H57" s="90"/>
      <c r="I57" s="18"/>
      <c r="J57" s="18"/>
      <c r="K57" s="18"/>
      <c r="L57" s="18"/>
      <c r="M57" s="18"/>
    </row>
    <row r="58" spans="1:13" ht="16" x14ac:dyDescent="0.2">
      <c r="A58" s="29">
        <v>47</v>
      </c>
      <c r="B58" s="82"/>
      <c r="C58" s="82"/>
      <c r="D58" s="90"/>
      <c r="E58" s="102"/>
      <c r="F58" s="81"/>
      <c r="G58" s="81"/>
      <c r="H58" s="90"/>
      <c r="I58" s="18"/>
      <c r="J58" s="18"/>
      <c r="K58" s="18"/>
      <c r="L58" s="18"/>
      <c r="M58" s="18"/>
    </row>
    <row r="59" spans="1:13" ht="16" x14ac:dyDescent="0.2">
      <c r="A59" s="29">
        <v>48</v>
      </c>
      <c r="B59" s="82"/>
      <c r="C59" s="82"/>
      <c r="D59" s="90"/>
      <c r="E59" s="102"/>
      <c r="F59" s="81"/>
      <c r="G59" s="81"/>
      <c r="H59" s="90"/>
      <c r="I59" s="18"/>
      <c r="J59" s="18"/>
      <c r="K59" s="18"/>
      <c r="L59" s="18"/>
      <c r="M59" s="18"/>
    </row>
    <row r="60" spans="1:13" ht="16" x14ac:dyDescent="0.2">
      <c r="A60" s="29">
        <v>49</v>
      </c>
      <c r="B60" s="82"/>
      <c r="C60" s="82"/>
      <c r="D60" s="90"/>
      <c r="E60" s="102"/>
      <c r="F60" s="81"/>
      <c r="G60" s="81"/>
      <c r="H60" s="90"/>
      <c r="I60" s="18"/>
      <c r="J60" s="18"/>
      <c r="K60" s="18"/>
      <c r="L60" s="18"/>
      <c r="M60" s="18"/>
    </row>
    <row r="61" spans="1:13" ht="16" x14ac:dyDescent="0.2">
      <c r="A61" s="29">
        <v>50</v>
      </c>
      <c r="B61" s="90"/>
      <c r="C61" s="82"/>
      <c r="D61" s="90"/>
      <c r="E61" s="102"/>
      <c r="F61" s="81"/>
      <c r="G61" s="81"/>
      <c r="H61" s="90"/>
      <c r="I61" s="18"/>
      <c r="J61" s="18"/>
      <c r="K61" s="18"/>
      <c r="L61" s="18"/>
      <c r="M61" s="18"/>
    </row>
    <row r="62" spans="1:13" ht="17" thickBot="1" x14ac:dyDescent="0.25">
      <c r="A62" s="16"/>
      <c r="B62" s="32" t="str">
        <f>IF(Product!$C$2=Languages!A3,Languages!A24,Languages!B24)</f>
        <v>Sum:</v>
      </c>
      <c r="C62" s="16"/>
      <c r="D62" s="32"/>
      <c r="E62" s="33">
        <f>SUM(E12:E61)</f>
        <v>0</v>
      </c>
      <c r="F62" s="16"/>
      <c r="G62" s="16"/>
      <c r="H62" s="16"/>
      <c r="I62" s="18"/>
      <c r="J62" s="18"/>
      <c r="K62" s="18"/>
      <c r="L62" s="18"/>
      <c r="M62" s="18"/>
    </row>
    <row r="63" spans="1:13" ht="17" thickTop="1" x14ac:dyDescent="0.2">
      <c r="A63" s="16"/>
      <c r="B63" s="16"/>
      <c r="C63" s="16"/>
      <c r="D63" s="32"/>
      <c r="E63" s="22" t="str">
        <f>IF(Product!$C$2=Languages!A3,Languages!A25,Languages!B25)</f>
        <v>(must be 100)</v>
      </c>
      <c r="F63" s="16"/>
      <c r="G63" s="16"/>
      <c r="H63" s="16"/>
      <c r="I63" s="18"/>
      <c r="J63" s="18"/>
      <c r="K63" s="18"/>
      <c r="L63" s="18"/>
      <c r="M63" s="18"/>
    </row>
    <row r="64" spans="1:13" ht="16" x14ac:dyDescent="0.2">
      <c r="A64" s="16"/>
      <c r="B64" s="16"/>
      <c r="C64" s="16"/>
      <c r="D64" s="32"/>
      <c r="E64" s="22"/>
      <c r="F64" s="16"/>
      <c r="G64" s="16"/>
      <c r="H64" s="16"/>
      <c r="I64" s="18"/>
      <c r="J64" s="18"/>
      <c r="K64" s="18"/>
      <c r="L64" s="18"/>
      <c r="M64" s="18"/>
    </row>
    <row r="65" spans="1:13" ht="34.5" customHeight="1" x14ac:dyDescent="0.2">
      <c r="A65" s="16"/>
      <c r="B65" s="677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686">
        <f>IF($C$2="Deutsch",Languages!B83,Languages!C83)</f>
        <v>0</v>
      </c>
      <c r="D65" s="686">
        <f>IF($C$2="Deutsch",Languages!C83,Languages!D83)</f>
        <v>0</v>
      </c>
      <c r="E65" s="686">
        <f>IF($C$2="Deutsch",Languages!D83,Languages!E83)</f>
        <v>0</v>
      </c>
      <c r="F65" s="686">
        <f>IF($C$2="Deutsch",Languages!E83,Languages!F83)</f>
        <v>0</v>
      </c>
      <c r="G65" s="686">
        <f>IF($C$2="Deutsch",Languages!F83,Languages!G83)</f>
        <v>0</v>
      </c>
      <c r="H65" s="686">
        <f>IF($C$2="Deutsch",Languages!G83,Languages!H83)</f>
        <v>0</v>
      </c>
      <c r="I65" s="18"/>
      <c r="J65" s="18"/>
      <c r="K65" s="18"/>
      <c r="L65" s="18"/>
      <c r="M65" s="18"/>
    </row>
    <row r="66" spans="1:13" ht="16" x14ac:dyDescent="0.2">
      <c r="A66" s="16"/>
      <c r="B66" s="16"/>
      <c r="C66" s="16"/>
      <c r="D66" s="16"/>
      <c r="E66" s="16"/>
      <c r="F66" s="16"/>
      <c r="G66" s="16"/>
      <c r="H66" s="16"/>
      <c r="I66" s="18"/>
      <c r="J66" s="18"/>
      <c r="K66" s="18"/>
      <c r="L66" s="18"/>
      <c r="M66" s="18"/>
    </row>
    <row r="67" spans="1:13" ht="46.5" customHeight="1" x14ac:dyDescent="0.2">
      <c r="A67" s="16"/>
      <c r="B67" s="687" t="str">
        <f>IF(Product!$C$2=Languages!A3,Languages!A26,Languages!B26)</f>
        <v>remarks of the applicant</v>
      </c>
      <c r="C67" s="688" t="e">
        <f>IF($C$2="Deutsch",Languages!#REF!,Languages!#REF!)</f>
        <v>#REF!</v>
      </c>
      <c r="D67" s="688" t="e">
        <f>IF($C$2="Deutsch",Languages!#REF!,Languages!#REF!)</f>
        <v>#REF!</v>
      </c>
      <c r="E67" s="688" t="e">
        <f>IF($C$2="Deutsch",Languages!#REF!,Languages!#REF!)</f>
        <v>#REF!</v>
      </c>
      <c r="F67" s="688" t="e">
        <f>IF($C$2="Deutsch",Languages!#REF!,Languages!#REF!)</f>
        <v>#REF!</v>
      </c>
      <c r="G67" s="688" t="e">
        <f>IF($C$2="Deutsch",Languages!#REF!,Languages!#REF!)</f>
        <v>#REF!</v>
      </c>
      <c r="H67" s="689" t="e">
        <f>IF($C$2="Deutsch",Languages!#REF!,Languages!#REF!)</f>
        <v>#REF!</v>
      </c>
      <c r="I67" s="18"/>
      <c r="J67" s="18"/>
      <c r="K67" s="18"/>
      <c r="L67" s="18"/>
      <c r="M67" s="18"/>
    </row>
    <row r="68" spans="1:13" ht="16" x14ac:dyDescent="0.2">
      <c r="A68" s="16"/>
      <c r="B68" s="16"/>
      <c r="C68" s="16"/>
      <c r="D68" s="16"/>
      <c r="E68" s="16"/>
      <c r="F68" s="16"/>
      <c r="G68" s="16"/>
      <c r="H68" s="16"/>
      <c r="I68" s="18"/>
      <c r="J68" s="18"/>
      <c r="K68" s="18"/>
      <c r="L68" s="18"/>
      <c r="M68" s="18"/>
    </row>
    <row r="69" spans="1:13" ht="16" x14ac:dyDescent="0.2">
      <c r="A69" s="16"/>
      <c r="B69" s="16"/>
      <c r="C69" s="16"/>
      <c r="D69" s="16"/>
      <c r="E69" s="16"/>
      <c r="F69" s="16"/>
      <c r="G69" s="16"/>
      <c r="H69" s="16"/>
      <c r="I69" s="18"/>
      <c r="J69" s="18"/>
      <c r="K69" s="18"/>
      <c r="L69" s="18"/>
      <c r="M69" s="18"/>
    </row>
    <row r="70" spans="1:13" ht="16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8"/>
      <c r="K70" s="18"/>
      <c r="L70" s="18"/>
      <c r="M70" s="18"/>
    </row>
    <row r="71" spans="1:13" ht="16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8"/>
      <c r="K71" s="18"/>
      <c r="L71" s="18"/>
      <c r="M71" s="18"/>
    </row>
    <row r="72" spans="1:13" ht="16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8"/>
      <c r="K72" s="18"/>
      <c r="L72" s="18"/>
      <c r="M72" s="18"/>
    </row>
    <row r="73" spans="1:13" ht="16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8"/>
      <c r="K73" s="18"/>
      <c r="L73" s="18"/>
      <c r="M73" s="18"/>
    </row>
    <row r="74" spans="1:13" ht="16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8"/>
      <c r="K74" s="18"/>
      <c r="L74" s="18"/>
      <c r="M74" s="18"/>
    </row>
    <row r="75" spans="1:13" ht="16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8"/>
      <c r="K75" s="18"/>
      <c r="L75" s="18"/>
      <c r="M75" s="18"/>
    </row>
    <row r="76" spans="1:13" ht="16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8"/>
      <c r="K76" s="18"/>
      <c r="L76" s="18"/>
      <c r="M76" s="18"/>
    </row>
    <row r="77" spans="1:13" ht="1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8"/>
      <c r="K77" s="18"/>
      <c r="L77" s="18"/>
      <c r="M77" s="18"/>
    </row>
    <row r="78" spans="1:13" ht="16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8"/>
      <c r="K78" s="18"/>
      <c r="L78" s="18"/>
      <c r="M78" s="18"/>
    </row>
    <row r="79" spans="1:13" ht="16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8"/>
      <c r="K79" s="18"/>
      <c r="L79" s="18"/>
      <c r="M79" s="18"/>
    </row>
    <row r="80" spans="1:13" ht="16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8"/>
      <c r="K80" s="18"/>
      <c r="L80" s="18"/>
      <c r="M80" s="18"/>
    </row>
    <row r="81" spans="1:13" ht="16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8"/>
      <c r="K81" s="18"/>
      <c r="L81" s="18"/>
      <c r="M81" s="18"/>
    </row>
    <row r="82" spans="1:13" ht="16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8"/>
      <c r="K82" s="18"/>
      <c r="L82" s="18"/>
      <c r="M82" s="18"/>
    </row>
    <row r="83" spans="1:13" ht="1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8"/>
      <c r="K83" s="18"/>
      <c r="L83" s="18"/>
      <c r="M83" s="18"/>
    </row>
    <row r="84" spans="1:13" ht="1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8"/>
      <c r="K84" s="18"/>
      <c r="L84" s="18"/>
      <c r="M84" s="18"/>
    </row>
    <row r="85" spans="1:13" ht="1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8"/>
      <c r="K85" s="18"/>
      <c r="L85" s="18"/>
      <c r="M85" s="18"/>
    </row>
    <row r="86" spans="1:13" ht="1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8"/>
      <c r="K86" s="18"/>
      <c r="L86" s="18"/>
      <c r="M86" s="18"/>
    </row>
    <row r="87" spans="1:13" ht="1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8"/>
      <c r="K87" s="18"/>
      <c r="L87" s="18"/>
      <c r="M87" s="18"/>
    </row>
    <row r="88" spans="1:13" ht="1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8"/>
      <c r="K88" s="18"/>
      <c r="L88" s="18"/>
      <c r="M88" s="18"/>
    </row>
    <row r="89" spans="1:13" ht="1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8"/>
      <c r="K89" s="18"/>
      <c r="L89" s="18"/>
      <c r="M89" s="18"/>
    </row>
    <row r="90" spans="1:13" ht="1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8"/>
      <c r="K90" s="18"/>
      <c r="L90" s="18"/>
      <c r="M90" s="18"/>
    </row>
    <row r="91" spans="1:13" ht="1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8"/>
      <c r="K91" s="18"/>
      <c r="L91" s="18"/>
      <c r="M91" s="18"/>
    </row>
    <row r="92" spans="1:13" ht="1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8"/>
      <c r="K92" s="18"/>
      <c r="L92" s="18"/>
      <c r="M92" s="18"/>
    </row>
    <row r="93" spans="1:13" ht="1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8"/>
      <c r="K93" s="18"/>
      <c r="L93" s="18"/>
      <c r="M93" s="18"/>
    </row>
    <row r="94" spans="1:13" ht="1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8"/>
      <c r="K94" s="18"/>
      <c r="L94" s="18"/>
      <c r="M94" s="18"/>
    </row>
    <row r="95" spans="1:13" ht="1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8"/>
      <c r="K95" s="18"/>
      <c r="L95" s="18"/>
      <c r="M95" s="18"/>
    </row>
    <row r="96" spans="1:13" ht="1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8"/>
      <c r="K96" s="18"/>
      <c r="L96" s="18"/>
      <c r="M96" s="18"/>
    </row>
    <row r="97" spans="1:13" ht="1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8"/>
      <c r="K97" s="18"/>
      <c r="L97" s="18"/>
      <c r="M97" s="18"/>
    </row>
    <row r="98" spans="1:13" ht="1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8"/>
      <c r="K98" s="18"/>
      <c r="L98" s="18"/>
      <c r="M98" s="18"/>
    </row>
    <row r="99" spans="1:13" ht="1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8"/>
      <c r="K99" s="18"/>
      <c r="L99" s="18"/>
      <c r="M99" s="18"/>
    </row>
    <row r="100" spans="1:13" ht="1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8"/>
      <c r="K100" s="18"/>
      <c r="L100" s="18"/>
      <c r="M100" s="18"/>
    </row>
    <row r="101" spans="1:13" ht="1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8"/>
      <c r="K101" s="18"/>
      <c r="L101" s="18"/>
      <c r="M101" s="18"/>
    </row>
    <row r="102" spans="1:13" ht="16" x14ac:dyDescent="0.2">
      <c r="A102" s="9"/>
      <c r="B102" s="9"/>
      <c r="C102" s="9"/>
      <c r="D102" s="9"/>
      <c r="E102" s="9"/>
      <c r="F102" s="9"/>
      <c r="G102" s="9"/>
      <c r="H102" s="9"/>
      <c r="I102" s="18"/>
      <c r="J102" s="18"/>
      <c r="K102" s="18"/>
      <c r="L102" s="18"/>
      <c r="M102" s="18"/>
    </row>
    <row r="103" spans="1:13" ht="16" x14ac:dyDescent="0.2">
      <c r="I103" s="18"/>
      <c r="J103" s="18"/>
      <c r="K103" s="18"/>
      <c r="L103" s="18"/>
      <c r="M103" s="18"/>
    </row>
    <row r="104" spans="1:13" ht="16" x14ac:dyDescent="0.2">
      <c r="I104" s="18"/>
      <c r="J104" s="18"/>
      <c r="K104" s="18"/>
      <c r="L104" s="18"/>
      <c r="M104" s="18"/>
    </row>
    <row r="105" spans="1:13" ht="16" x14ac:dyDescent="0.2">
      <c r="I105" s="18"/>
      <c r="J105" s="18"/>
      <c r="K105" s="18"/>
      <c r="L105" s="18"/>
      <c r="M105" s="18"/>
    </row>
    <row r="106" spans="1:13" ht="16" x14ac:dyDescent="0.2">
      <c r="I106" s="18"/>
      <c r="J106" s="18"/>
      <c r="K106" s="18"/>
      <c r="L106" s="18"/>
      <c r="M106" s="18"/>
    </row>
    <row r="107" spans="1:13" ht="16" x14ac:dyDescent="0.2">
      <c r="I107" s="18"/>
      <c r="J107" s="18"/>
      <c r="K107" s="18"/>
      <c r="L107" s="18"/>
      <c r="M107" s="18"/>
    </row>
    <row r="108" spans="1:13" ht="16" x14ac:dyDescent="0.2">
      <c r="I108" s="18"/>
      <c r="J108" s="18"/>
      <c r="K108" s="18"/>
      <c r="L108" s="18"/>
      <c r="M108" s="18"/>
    </row>
    <row r="109" spans="1:13" ht="16" x14ac:dyDescent="0.2">
      <c r="I109" s="18"/>
      <c r="J109" s="18"/>
      <c r="K109" s="18"/>
      <c r="L109" s="18"/>
      <c r="M109" s="18"/>
    </row>
    <row r="110" spans="1:13" ht="16" x14ac:dyDescent="0.2">
      <c r="I110" s="18"/>
      <c r="J110" s="18"/>
      <c r="K110" s="18"/>
      <c r="L110" s="18"/>
      <c r="M110" s="18"/>
    </row>
    <row r="111" spans="1:13" ht="16" x14ac:dyDescent="0.2">
      <c r="I111" s="18"/>
      <c r="J111" s="18"/>
      <c r="K111" s="18"/>
      <c r="L111" s="18"/>
      <c r="M111" s="18"/>
    </row>
    <row r="112" spans="1:13" ht="16" x14ac:dyDescent="0.2">
      <c r="I112" s="18"/>
      <c r="J112" s="18"/>
      <c r="K112" s="18"/>
      <c r="L112" s="18"/>
      <c r="M112" s="18"/>
    </row>
    <row r="113" spans="9:13" ht="16" x14ac:dyDescent="0.2">
      <c r="I113" s="18"/>
      <c r="J113" s="18"/>
      <c r="K113" s="18"/>
      <c r="L113" s="18"/>
      <c r="M113" s="18"/>
    </row>
    <row r="114" spans="9:13" ht="16" x14ac:dyDescent="0.2">
      <c r="I114" s="18"/>
      <c r="J114" s="18"/>
      <c r="K114" s="18"/>
      <c r="L114" s="18"/>
      <c r="M114" s="18"/>
    </row>
    <row r="115" spans="9:13" ht="16" x14ac:dyDescent="0.2">
      <c r="I115" s="18"/>
      <c r="J115" s="18"/>
      <c r="K115" s="18"/>
      <c r="L115" s="18"/>
      <c r="M115" s="18"/>
    </row>
    <row r="116" spans="9:13" ht="16" x14ac:dyDescent="0.2">
      <c r="I116" s="18"/>
      <c r="J116" s="18"/>
      <c r="K116" s="18"/>
      <c r="L116" s="18"/>
      <c r="M116" s="18"/>
    </row>
    <row r="117" spans="9:13" ht="16" x14ac:dyDescent="0.2">
      <c r="I117" s="18"/>
      <c r="J117" s="18"/>
      <c r="K117" s="18"/>
      <c r="L117" s="18"/>
      <c r="M117" s="18"/>
    </row>
  </sheetData>
  <sheetProtection password="CC13" sheet="1" objects="1" scenarios="1" formatCells="0" formatColumns="0" formatRows="0" selectLockedCells="1" autoFilter="0"/>
  <autoFilter ref="B10:B63" xr:uid="{00000000-0009-0000-0000-000001000000}"/>
  <mergeCells count="15">
    <mergeCell ref="B65:H65"/>
    <mergeCell ref="B67:H67"/>
    <mergeCell ref="A6:B6"/>
    <mergeCell ref="C6:E6"/>
    <mergeCell ref="A7:B7"/>
    <mergeCell ref="C7:E7"/>
    <mergeCell ref="A8:B8"/>
    <mergeCell ref="C8:E8"/>
    <mergeCell ref="F6:H6"/>
    <mergeCell ref="A5:B5"/>
    <mergeCell ref="C5:E5"/>
    <mergeCell ref="E1:F1"/>
    <mergeCell ref="G1:H1"/>
    <mergeCell ref="A4:B4"/>
    <mergeCell ref="C4:E4"/>
  </mergeCells>
  <conditionalFormatting sqref="E62">
    <cfRule type="expression" dxfId="234" priority="2">
      <formula>E62&lt;&gt;100</formula>
    </cfRule>
  </conditionalFormatting>
  <conditionalFormatting sqref="C13:H61">
    <cfRule type="expression" dxfId="233" priority="1">
      <formula>$B13=""</formula>
    </cfRule>
  </conditionalFormatting>
  <dataValidations count="3">
    <dataValidation type="list" allowBlank="1" showInputMessage="1" sqref="D13:D61" xr:uid="{00000000-0002-0000-0100-000000000000}">
      <formula1>Funktion</formula1>
    </dataValidation>
    <dataValidation type="list" allowBlank="1" showInputMessage="1" showErrorMessage="1" sqref="F13:G61" xr:uid="{00000000-0002-0000-0100-000001000000}">
      <formula1>janein</formula1>
    </dataValidation>
    <dataValidation allowBlank="1" showInputMessage="1" showErrorMessage="1" errorTitle="Please select" sqref="G1:H1" xr:uid="{00000000-0002-0000-0100-000002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W78"/>
  <sheetViews>
    <sheetView topLeftCell="G1" zoomScale="70" zoomScaleNormal="70" workbookViewId="0">
      <selection activeCell="I12" sqref="I12"/>
    </sheetView>
  </sheetViews>
  <sheetFormatPr baseColWidth="10" defaultColWidth="11.5" defaultRowHeight="13" x14ac:dyDescent="0.15"/>
  <cols>
    <col min="1" max="1" width="3.1640625" style="1" bestFit="1" customWidth="1"/>
    <col min="2" max="2" width="41.1640625" customWidth="1"/>
    <col min="3" max="3" width="11.83203125" style="1" customWidth="1"/>
    <col min="4" max="4" width="10.5" style="1" hidden="1" customWidth="1"/>
    <col min="5" max="5" width="8.6640625" style="1" customWidth="1"/>
    <col min="6" max="6" width="15.6640625" style="1" hidden="1" customWidth="1"/>
    <col min="7" max="7" width="12" customWidth="1"/>
    <col min="8" max="8" width="23.5" customWidth="1"/>
    <col min="9" max="9" width="20.6640625" customWidth="1"/>
    <col min="10" max="11" width="18.33203125" customWidth="1"/>
    <col min="12" max="12" width="19.1640625" style="2" customWidth="1"/>
    <col min="13" max="13" width="12.6640625" style="2" bestFit="1" customWidth="1"/>
    <col min="14" max="14" width="10.83203125" style="2" customWidth="1"/>
    <col min="15" max="15" width="10.83203125" style="209" bestFit="1" customWidth="1"/>
    <col min="16" max="16" width="12.6640625" style="209" customWidth="1"/>
    <col min="17" max="20" width="12.6640625" style="209" hidden="1" customWidth="1"/>
    <col min="21" max="21" width="10.83203125" style="209" bestFit="1" customWidth="1"/>
    <col min="22" max="22" width="0" style="111" hidden="1" customWidth="1"/>
  </cols>
  <sheetData>
    <row r="1" spans="1:23" ht="16" x14ac:dyDescent="0.2">
      <c r="A1" s="16"/>
      <c r="B1" s="314"/>
      <c r="C1" s="157"/>
      <c r="D1" s="157"/>
      <c r="E1" s="157"/>
      <c r="F1" s="157"/>
      <c r="G1" s="158"/>
      <c r="H1" s="157"/>
      <c r="I1" s="665" t="str">
        <f>Product!G1</f>
        <v>COMMISSION DECISION</v>
      </c>
      <c r="J1" s="666"/>
      <c r="K1" s="684">
        <f>Product!I1</f>
        <v>0</v>
      </c>
      <c r="L1" s="695"/>
      <c r="M1" s="685"/>
      <c r="N1" s="18"/>
      <c r="O1" s="98"/>
      <c r="P1" s="98"/>
      <c r="Q1" s="98"/>
      <c r="R1" s="98"/>
      <c r="S1" s="98"/>
      <c r="T1" s="98"/>
      <c r="U1" s="98"/>
      <c r="V1" s="98"/>
      <c r="W1" s="18"/>
    </row>
    <row r="2" spans="1:23" ht="16" x14ac:dyDescent="0.2">
      <c r="A2" s="16"/>
      <c r="B2" s="157"/>
      <c r="C2" s="157"/>
      <c r="D2" s="157"/>
      <c r="E2" s="157"/>
      <c r="F2" s="157"/>
      <c r="G2" s="158"/>
      <c r="H2" s="18"/>
      <c r="I2" s="108"/>
      <c r="J2" s="18"/>
      <c r="K2" s="18"/>
      <c r="L2" s="295" t="str">
        <f>Product!I2</f>
        <v>Template March 2020</v>
      </c>
      <c r="M2" s="18"/>
      <c r="N2" s="18"/>
      <c r="O2" s="98"/>
      <c r="P2" s="98"/>
      <c r="Q2" s="98"/>
      <c r="R2" s="98"/>
      <c r="S2" s="98"/>
      <c r="T2" s="98"/>
      <c r="U2" s="98"/>
      <c r="V2" s="98"/>
      <c r="W2" s="18"/>
    </row>
    <row r="3" spans="1:23" ht="16" x14ac:dyDescent="0.2">
      <c r="A3" s="699"/>
      <c r="B3" s="699"/>
      <c r="C3" s="700"/>
      <c r="D3" s="700"/>
      <c r="E3" s="700"/>
      <c r="F3" s="700"/>
      <c r="G3" s="700"/>
      <c r="H3" s="700"/>
      <c r="I3" s="700"/>
      <c r="J3" s="20"/>
      <c r="K3" s="20"/>
      <c r="L3" s="254" t="str">
        <f>Product!H4</f>
        <v>Date:</v>
      </c>
      <c r="M3" s="92">
        <f>Product!I4</f>
        <v>0</v>
      </c>
      <c r="N3" s="18"/>
      <c r="O3" s="98"/>
      <c r="P3" s="98"/>
      <c r="Q3" s="98"/>
      <c r="R3" s="98"/>
      <c r="S3" s="98"/>
      <c r="T3" s="98"/>
      <c r="U3" s="98"/>
      <c r="V3" s="98"/>
      <c r="W3" s="18"/>
    </row>
    <row r="4" spans="1:23" ht="16" x14ac:dyDescent="0.2">
      <c r="A4" s="670" t="str">
        <f>Product!A4</f>
        <v>Contract number:</v>
      </c>
      <c r="B4" s="671"/>
      <c r="C4" s="696">
        <f>Product!C4</f>
        <v>0</v>
      </c>
      <c r="D4" s="697"/>
      <c r="E4" s="697"/>
      <c r="F4" s="697"/>
      <c r="G4" s="697"/>
      <c r="H4" s="697"/>
      <c r="I4" s="698"/>
      <c r="J4" s="20"/>
      <c r="K4" s="20"/>
      <c r="L4" s="254" t="str">
        <f>Product!H5</f>
        <v>Version:</v>
      </c>
      <c r="M4" s="93">
        <f>Product!I5</f>
        <v>0</v>
      </c>
      <c r="N4" s="18"/>
      <c r="O4" s="98"/>
      <c r="P4" s="98"/>
      <c r="Q4" s="98"/>
      <c r="R4" s="98"/>
      <c r="S4" s="98"/>
      <c r="T4" s="98"/>
      <c r="U4" s="98"/>
      <c r="V4" s="98"/>
      <c r="W4" s="18"/>
    </row>
    <row r="5" spans="1:23" ht="16" x14ac:dyDescent="0.2">
      <c r="A5" s="670" t="str">
        <f>Product!A5</f>
        <v>Licence Holder:</v>
      </c>
      <c r="B5" s="671"/>
      <c r="C5" s="696">
        <f>Product!C5</f>
        <v>0</v>
      </c>
      <c r="D5" s="697"/>
      <c r="E5" s="697"/>
      <c r="F5" s="697"/>
      <c r="G5" s="697"/>
      <c r="H5" s="697"/>
      <c r="I5" s="698"/>
      <c r="J5" s="21"/>
      <c r="K5" s="21"/>
      <c r="L5" s="18"/>
      <c r="M5" s="18"/>
      <c r="N5" s="18"/>
      <c r="O5" s="98"/>
      <c r="P5" s="98"/>
      <c r="Q5" s="98"/>
      <c r="R5" s="98"/>
      <c r="S5" s="98"/>
      <c r="T5" s="98"/>
      <c r="U5" s="98"/>
      <c r="V5" s="98"/>
      <c r="W5" s="18"/>
    </row>
    <row r="6" spans="1:23" ht="16" x14ac:dyDescent="0.2">
      <c r="A6" s="670" t="str">
        <f>Product!A6</f>
        <v>Distributor / Product name (Country):</v>
      </c>
      <c r="B6" s="671"/>
      <c r="C6" s="696">
        <f>Product!C6</f>
        <v>0</v>
      </c>
      <c r="D6" s="697"/>
      <c r="E6" s="697"/>
      <c r="F6" s="697"/>
      <c r="G6" s="697"/>
      <c r="H6" s="697"/>
      <c r="I6" s="698"/>
      <c r="J6" s="18"/>
      <c r="K6" s="18"/>
      <c r="L6" s="19"/>
      <c r="M6" s="18"/>
      <c r="N6" s="18"/>
      <c r="O6" s="98"/>
      <c r="P6" s="98"/>
      <c r="Q6" s="98"/>
      <c r="R6" s="98"/>
      <c r="S6" s="98"/>
      <c r="T6" s="98"/>
      <c r="U6" s="98"/>
      <c r="V6" s="98"/>
      <c r="W6" s="18"/>
    </row>
    <row r="7" spans="1:23" ht="16" x14ac:dyDescent="0.2">
      <c r="A7" s="670" t="str">
        <f>Product!A22</f>
        <v>Type of product:</v>
      </c>
      <c r="B7" s="671"/>
      <c r="C7" s="696">
        <f>Product!C22</f>
        <v>0</v>
      </c>
      <c r="D7" s="697"/>
      <c r="E7" s="697"/>
      <c r="F7" s="697"/>
      <c r="G7" s="697"/>
      <c r="H7" s="697"/>
      <c r="I7" s="698"/>
      <c r="J7" s="18"/>
      <c r="K7" s="18"/>
      <c r="L7" s="19"/>
      <c r="M7" s="18"/>
      <c r="N7" s="18"/>
      <c r="O7" s="98"/>
      <c r="P7" s="98"/>
      <c r="Q7" s="98"/>
      <c r="R7" s="98"/>
      <c r="S7" s="98"/>
      <c r="T7" s="98"/>
      <c r="U7" s="98"/>
      <c r="V7" s="98"/>
      <c r="W7" s="18"/>
    </row>
    <row r="8" spans="1:23" ht="15.75" customHeight="1" x14ac:dyDescent="0.2">
      <c r="A8" s="670" t="str">
        <f>Product!A24</f>
        <v>Form of product:</v>
      </c>
      <c r="B8" s="671"/>
      <c r="C8" s="696">
        <f>Product!C24</f>
        <v>0</v>
      </c>
      <c r="D8" s="697"/>
      <c r="E8" s="697"/>
      <c r="F8" s="697"/>
      <c r="G8" s="697"/>
      <c r="H8" s="697"/>
      <c r="I8" s="698"/>
      <c r="J8" s="255"/>
      <c r="K8" s="255"/>
      <c r="L8" s="255"/>
      <c r="M8" s="255"/>
      <c r="N8" s="255"/>
      <c r="O8" s="202"/>
      <c r="P8" s="202"/>
      <c r="Q8" s="202"/>
      <c r="R8" s="202"/>
      <c r="S8" s="202"/>
      <c r="T8" s="202"/>
      <c r="U8" s="202"/>
      <c r="V8" s="98"/>
      <c r="W8" s="18"/>
    </row>
    <row r="9" spans="1:23" ht="9.75" customHeight="1" x14ac:dyDescent="0.2">
      <c r="A9" s="31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02"/>
      <c r="P9" s="202"/>
      <c r="Q9" s="202"/>
      <c r="R9" s="202"/>
      <c r="S9" s="202"/>
      <c r="T9" s="202"/>
      <c r="U9" s="202"/>
      <c r="V9" s="98"/>
      <c r="W9" s="18"/>
    </row>
    <row r="10" spans="1:23" ht="36" customHeight="1" x14ac:dyDescent="0.2">
      <c r="A10" s="316" t="str">
        <f>'Formulation Pre-Products'!A10</f>
        <v>cons.</v>
      </c>
      <c r="B10" s="200" t="str">
        <f>IF(Product!$C$2=Languages!A3,Languages!A55,Languages!B55)</f>
        <v>Ingoing substance 3)</v>
      </c>
      <c r="C10" s="26" t="str">
        <f>IF(Product!$C$2=Languages!A3,Languages!A57,Languages!B57)</f>
        <v>contained in primary product</v>
      </c>
      <c r="D10" s="151" t="s">
        <v>417</v>
      </c>
      <c r="E10" s="150" t="str">
        <f>IF(Product!$C$2=Languages!A3,Languages!A135,Languages!B135)</f>
        <v>active content</v>
      </c>
      <c r="F10" s="151" t="str">
        <f>I10</f>
        <v>weight in the formulation in</v>
      </c>
      <c r="G10" s="201" t="s">
        <v>2</v>
      </c>
      <c r="H10" s="260" t="str">
        <f>'Formulation Pre-Products'!D10</f>
        <v>Function</v>
      </c>
      <c r="I10" s="26" t="str">
        <f>'Formulation Pre-Products'!E10</f>
        <v>weight in the formulation in</v>
      </c>
      <c r="J10" s="26" t="str">
        <f>'Formulation Pre-Products'!H10</f>
        <v>Hazard Statement (1)</v>
      </c>
      <c r="K10" s="198" t="str">
        <f>IF(Product!$C$2=Languages!A3,Languages!A232,Languages!B232)</f>
        <v>If H-phrase restricted:
exemption because</v>
      </c>
      <c r="L10" s="198" t="str">
        <f>IF(Product!$C$2=Languages!A3,Languages!A27,Languages!B27)</f>
        <v>Select for Biocides: 
BCF / logKow</v>
      </c>
      <c r="M10" s="198" t="str">
        <f>IF(Product!$C$2=Languages!A3,Languages!A59,Languages!B59)</f>
        <v xml:space="preserve">Value of </v>
      </c>
      <c r="N10" s="260" t="str">
        <f>IF(Product!$C$2=Languages!A3,Languages!A101,Languages!B101)</f>
        <v>Form in the product</v>
      </c>
      <c r="O10" s="260" t="str">
        <f>IF(Product!$C$2=Languages!A3,Languages!A41,Languages!B41)</f>
        <v>organic substance</v>
      </c>
      <c r="P10" s="198" t="str">
        <f>IF(Product!$C$2=Languages!A3,Languages!A167,Languages!B167)</f>
        <v>Contains palm/palm kernel oil</v>
      </c>
      <c r="Q10" s="241" t="s">
        <v>138</v>
      </c>
      <c r="R10" s="241" t="s">
        <v>801</v>
      </c>
      <c r="S10" s="241" t="s">
        <v>801</v>
      </c>
      <c r="T10" s="241" t="s">
        <v>138</v>
      </c>
      <c r="U10" s="198" t="str">
        <f>IF(Product!$C$2=Languages!A3,Languages!A224,Languages!B224)</f>
        <v>elemental phosphorus</v>
      </c>
      <c r="V10" s="98"/>
      <c r="W10" s="18"/>
    </row>
    <row r="11" spans="1:23" ht="58.5" customHeight="1" x14ac:dyDescent="0.2">
      <c r="A11" s="216" t="str">
        <f>'Formulation Pre-Products'!A11</f>
        <v>no:</v>
      </c>
      <c r="B11" s="216" t="str">
        <f>IF(Product!$C$2=Languages!A3,Languages!A56,Languages!B56)</f>
        <v>Name (IUPAC)</v>
      </c>
      <c r="C11" s="28" t="str">
        <f>IF(Product!$C$2=Languages!A3,Languages!A58,Languages!B58)</f>
        <v>(please choose)</v>
      </c>
      <c r="D11" s="152" t="s">
        <v>418</v>
      </c>
      <c r="E11" s="149" t="str">
        <f>IF(Product!$C$2=Languages!A3,Languages!A136,Languages!B136)</f>
        <v>in the pre-product (in %)</v>
      </c>
      <c r="F11" s="152" t="str">
        <f>I11</f>
        <v>mass-% (=g/100g product)</v>
      </c>
      <c r="G11" s="149" t="str">
        <f>'Formulation Pre-Products'!A11</f>
        <v>no:</v>
      </c>
      <c r="H11" s="28" t="str">
        <f>IF(Product!$C$2=Languages!A3,Languages!A134,Languages!B134)</f>
        <v>(please select)</v>
      </c>
      <c r="I11" s="28" t="str">
        <f>'Formulation Pre-Products'!E11</f>
        <v>mass-% (=g/100g product)</v>
      </c>
      <c r="J11" s="213" t="str">
        <f>IF(Product!$C$2=Languages!A3,Languages!A105,Languages!B105)</f>
        <v>In case H/EUH-statement with possible restrictions are detected, font changed to red</v>
      </c>
      <c r="K11" s="258" t="str">
        <f>H11</f>
        <v>(please select)</v>
      </c>
      <c r="L11" s="86" t="str">
        <f>IF(Product!$C$2=Languages!A3,Languages!A28,Languages!B28)</f>
        <v>Select for Colouring agents:
BCF / logKow or approved for foodstuff</v>
      </c>
      <c r="M11" s="199" t="s">
        <v>215</v>
      </c>
      <c r="N11" s="28" t="str">
        <f>H11</f>
        <v>(please select)</v>
      </c>
      <c r="O11" s="28" t="str">
        <f>H11</f>
        <v>(please select)</v>
      </c>
      <c r="P11" s="86" t="str">
        <f>H11</f>
        <v>(please select)</v>
      </c>
      <c r="Q11" s="86"/>
      <c r="R11" s="242" t="s">
        <v>802</v>
      </c>
      <c r="S11" s="242" t="s">
        <v>803</v>
      </c>
      <c r="T11" s="242" t="s">
        <v>804</v>
      </c>
      <c r="U11" s="86" t="str">
        <f>IF(Product!$C$2=Languages!A3,Languages!A225,Languages!B225)</f>
        <v>(in % of the substance's 
molecular weight)</v>
      </c>
      <c r="V11" s="98"/>
      <c r="W11" s="18"/>
    </row>
    <row r="12" spans="1:23" ht="16" x14ac:dyDescent="0.2">
      <c r="A12" s="37">
        <v>1</v>
      </c>
      <c r="B12" s="317" t="str">
        <f>'Formulation Pre-Products'!B12</f>
        <v>water</v>
      </c>
      <c r="C12" s="73" t="s">
        <v>7</v>
      </c>
      <c r="D12" s="73"/>
      <c r="E12" s="160" t="s">
        <v>7</v>
      </c>
      <c r="F12" s="73"/>
      <c r="G12" s="38" t="s">
        <v>7</v>
      </c>
      <c r="H12" s="133" t="s">
        <v>7</v>
      </c>
      <c r="I12" s="102"/>
      <c r="J12" s="161" t="s">
        <v>7</v>
      </c>
      <c r="K12" s="161"/>
      <c r="L12" s="133" t="s">
        <v>7</v>
      </c>
      <c r="M12" s="133" t="s">
        <v>7</v>
      </c>
      <c r="N12" s="133" t="s">
        <v>7</v>
      </c>
      <c r="O12" s="203" t="s">
        <v>7</v>
      </c>
      <c r="P12" s="203" t="s">
        <v>7</v>
      </c>
      <c r="Q12" s="203"/>
      <c r="R12" s="203"/>
      <c r="S12" s="203"/>
      <c r="T12" s="203"/>
      <c r="U12" s="203" t="s">
        <v>7</v>
      </c>
      <c r="V12" s="98"/>
      <c r="W12" s="18"/>
    </row>
    <row r="13" spans="1:23" ht="16" x14ac:dyDescent="0.2">
      <c r="A13" s="37">
        <v>2</v>
      </c>
      <c r="B13" s="90"/>
      <c r="C13" s="154"/>
      <c r="D13" s="313" t="str">
        <f>IF(C13="","",VLOOKUP(C13,'Formulation Pre-Products'!$B$13:$E$61,4,FALSE))</f>
        <v/>
      </c>
      <c r="E13" s="102"/>
      <c r="F13" s="153">
        <f>IF(D13="",0,(E13*D13/100))</f>
        <v>0</v>
      </c>
      <c r="G13" s="464"/>
      <c r="H13" s="90"/>
      <c r="I13" s="153" t="str">
        <f t="shared" ref="I13:I15" si="0">IF(F13&lt;0.0000000000001,"",F13)</f>
        <v/>
      </c>
      <c r="J13" s="107"/>
      <c r="K13" s="90"/>
      <c r="L13" s="88"/>
      <c r="M13" s="87"/>
      <c r="N13" s="94"/>
      <c r="O13" s="102"/>
      <c r="P13" s="102"/>
      <c r="Q13" s="318" t="str">
        <f>IF(B13="","",IF(OR(H13=Languages!$A$69,H13=Languages!$B$69),"Y","N"))</f>
        <v/>
      </c>
      <c r="R13" s="318" t="str">
        <f>IF(NOT(ISERROR(SEARCH("400",J13,1))),"Y","N")</f>
        <v>N</v>
      </c>
      <c r="S13" s="318" t="str">
        <f>IF(NOT(ISERROR(SEARCH("412",J13,1))),"Y","N")</f>
        <v>N</v>
      </c>
      <c r="T13" s="318" t="str">
        <f>IF(AND(Q13="Y",(OR(R13="Y",S13="Y"))),"Y","N")</f>
        <v>N</v>
      </c>
      <c r="U13" s="319"/>
      <c r="V13" s="251">
        <v>300</v>
      </c>
      <c r="W13" s="18"/>
    </row>
    <row r="14" spans="1:23" ht="16" x14ac:dyDescent="0.2">
      <c r="A14" s="37">
        <v>3</v>
      </c>
      <c r="B14" s="90"/>
      <c r="C14" s="154"/>
      <c r="D14" s="313" t="str">
        <f>IF(C14="","",VLOOKUP(C14,'Formulation Pre-Products'!$B$13:$E$61,4,FALSE))</f>
        <v/>
      </c>
      <c r="E14" s="102"/>
      <c r="F14" s="153">
        <f t="shared" ref="F14:F61" si="1">IF(D14="",0,(E14*D14/100))</f>
        <v>0</v>
      </c>
      <c r="G14" s="102"/>
      <c r="H14" s="90"/>
      <c r="I14" s="153" t="str">
        <f t="shared" si="0"/>
        <v/>
      </c>
      <c r="J14" s="107"/>
      <c r="K14" s="90"/>
      <c r="L14" s="88"/>
      <c r="M14" s="87"/>
      <c r="N14" s="94"/>
      <c r="O14" s="102"/>
      <c r="P14" s="102"/>
      <c r="Q14" s="318" t="str">
        <f>IF(B14="","",IF(OR(H14=Languages!$A$69,H14=Languages!$B$69),"Y","N"))</f>
        <v/>
      </c>
      <c r="R14" s="318" t="str">
        <f t="shared" ref="R14:R61" si="2">IF(NOT(ISERROR(SEARCH("400",J14,1))),"Y","N")</f>
        <v>N</v>
      </c>
      <c r="S14" s="318" t="str">
        <f t="shared" ref="S14:S61" si="3">IF(NOT(ISERROR(SEARCH("412",J14,1))),"Y","N")</f>
        <v>N</v>
      </c>
      <c r="T14" s="318" t="str">
        <f t="shared" ref="T14:T61" si="4">IF(AND(Q14="Y",(OR(R14="Y",S14="Y"))),"Y","N")</f>
        <v>N</v>
      </c>
      <c r="U14" s="319"/>
      <c r="V14" s="251">
        <v>301</v>
      </c>
      <c r="W14" s="18"/>
    </row>
    <row r="15" spans="1:23" ht="16" x14ac:dyDescent="0.2">
      <c r="A15" s="37">
        <v>4</v>
      </c>
      <c r="B15" s="90"/>
      <c r="C15" s="154"/>
      <c r="D15" s="313" t="str">
        <f>IF(C15="","",VLOOKUP(C15,'Formulation Pre-Products'!$B$13:$E$61,4,FALSE))</f>
        <v/>
      </c>
      <c r="E15" s="102"/>
      <c r="F15" s="153">
        <f t="shared" si="1"/>
        <v>0</v>
      </c>
      <c r="G15" s="102"/>
      <c r="H15" s="90"/>
      <c r="I15" s="153" t="str">
        <f t="shared" si="0"/>
        <v/>
      </c>
      <c r="J15" s="107"/>
      <c r="K15" s="90"/>
      <c r="L15" s="88"/>
      <c r="M15" s="87"/>
      <c r="N15" s="94"/>
      <c r="O15" s="102"/>
      <c r="P15" s="102"/>
      <c r="Q15" s="318" t="str">
        <f>IF(B15="","",IF(OR(H15=Languages!$A$69,H15=Languages!$B$69),"Y","N"))</f>
        <v/>
      </c>
      <c r="R15" s="318" t="str">
        <f t="shared" si="2"/>
        <v>N</v>
      </c>
      <c r="S15" s="318" t="str">
        <f t="shared" si="3"/>
        <v>N</v>
      </c>
      <c r="T15" s="318" t="str">
        <f t="shared" si="4"/>
        <v>N</v>
      </c>
      <c r="U15" s="319"/>
      <c r="V15" s="251">
        <v>304</v>
      </c>
      <c r="W15" s="18"/>
    </row>
    <row r="16" spans="1:23" ht="16" x14ac:dyDescent="0.2">
      <c r="A16" s="37">
        <v>5</v>
      </c>
      <c r="B16" s="90"/>
      <c r="C16" s="154"/>
      <c r="D16" s="313" t="str">
        <f>IF(C16="","",VLOOKUP(C16,'Formulation Pre-Products'!$B$13:$E$61,4,FALSE))</f>
        <v/>
      </c>
      <c r="E16" s="102"/>
      <c r="F16" s="153">
        <f t="shared" si="1"/>
        <v>0</v>
      </c>
      <c r="G16" s="102"/>
      <c r="H16" s="90"/>
      <c r="I16" s="153" t="str">
        <f t="shared" ref="I16:I61" si="5">IF(F16&lt;0.0000000000001,"",F16)</f>
        <v/>
      </c>
      <c r="J16" s="107"/>
      <c r="K16" s="90"/>
      <c r="L16" s="88"/>
      <c r="M16" s="87"/>
      <c r="N16" s="94"/>
      <c r="O16" s="102"/>
      <c r="P16" s="102"/>
      <c r="Q16" s="318" t="str">
        <f>IF(B16="","",IF(OR(H16=Languages!$A$69,H16=Languages!$B$69),"Y","N"))</f>
        <v/>
      </c>
      <c r="R16" s="318" t="str">
        <f t="shared" si="2"/>
        <v>N</v>
      </c>
      <c r="S16" s="318" t="str">
        <f t="shared" si="3"/>
        <v>N</v>
      </c>
      <c r="T16" s="318" t="str">
        <f t="shared" si="4"/>
        <v>N</v>
      </c>
      <c r="U16" s="319"/>
      <c r="V16" s="251">
        <v>310</v>
      </c>
      <c r="W16" s="18"/>
    </row>
    <row r="17" spans="1:23" ht="16" x14ac:dyDescent="0.2">
      <c r="A17" s="37">
        <v>6</v>
      </c>
      <c r="B17" s="90"/>
      <c r="C17" s="154"/>
      <c r="D17" s="313" t="str">
        <f>IF(C17="","",VLOOKUP(C17,'Formulation Pre-Products'!$B$13:$E$61,4,FALSE))</f>
        <v/>
      </c>
      <c r="E17" s="102"/>
      <c r="F17" s="153">
        <f t="shared" si="1"/>
        <v>0</v>
      </c>
      <c r="G17" s="102"/>
      <c r="H17" s="90"/>
      <c r="I17" s="153" t="str">
        <f t="shared" si="5"/>
        <v/>
      </c>
      <c r="J17" s="107"/>
      <c r="K17" s="90"/>
      <c r="L17" s="88"/>
      <c r="M17" s="87"/>
      <c r="N17" s="94"/>
      <c r="O17" s="102"/>
      <c r="P17" s="102"/>
      <c r="Q17" s="318" t="str">
        <f>IF(B17="","",IF(OR(H17=Languages!$A$69,H17=Languages!$B$69),"Y","N"))</f>
        <v/>
      </c>
      <c r="R17" s="318" t="str">
        <f t="shared" si="2"/>
        <v>N</v>
      </c>
      <c r="S17" s="318" t="str">
        <f t="shared" si="3"/>
        <v>N</v>
      </c>
      <c r="T17" s="318" t="str">
        <f t="shared" si="4"/>
        <v>N</v>
      </c>
      <c r="U17" s="319"/>
      <c r="V17" s="251">
        <v>311</v>
      </c>
      <c r="W17" s="18"/>
    </row>
    <row r="18" spans="1:23" ht="16" x14ac:dyDescent="0.2">
      <c r="A18" s="37">
        <v>7</v>
      </c>
      <c r="B18" s="90"/>
      <c r="C18" s="154"/>
      <c r="D18" s="313" t="str">
        <f>IF(C18="","",VLOOKUP(C18,'Formulation Pre-Products'!$B$13:$E$61,4,FALSE))</f>
        <v/>
      </c>
      <c r="E18" s="102"/>
      <c r="F18" s="153">
        <f t="shared" si="1"/>
        <v>0</v>
      </c>
      <c r="G18" s="102"/>
      <c r="H18" s="90"/>
      <c r="I18" s="153" t="str">
        <f t="shared" si="5"/>
        <v/>
      </c>
      <c r="J18" s="107"/>
      <c r="K18" s="90"/>
      <c r="L18" s="88"/>
      <c r="M18" s="87"/>
      <c r="N18" s="94"/>
      <c r="O18" s="102"/>
      <c r="P18" s="102"/>
      <c r="Q18" s="318" t="str">
        <f>IF(B18="","",IF(OR(H18=Languages!$A$69,H18=Languages!$B$69),"Y","N"))</f>
        <v/>
      </c>
      <c r="R18" s="318" t="str">
        <f t="shared" ref="R18" si="6">IF(NOT(ISERROR(SEARCH("400",J18,1))),"Y","N")</f>
        <v>N</v>
      </c>
      <c r="S18" s="318" t="str">
        <f t="shared" ref="S18" si="7">IF(NOT(ISERROR(SEARCH("412",J18,1))),"Y","N")</f>
        <v>N</v>
      </c>
      <c r="T18" s="318" t="str">
        <f t="shared" si="4"/>
        <v>N</v>
      </c>
      <c r="U18" s="319"/>
      <c r="V18" s="251">
        <v>317</v>
      </c>
      <c r="W18" s="18"/>
    </row>
    <row r="19" spans="1:23" ht="16" x14ac:dyDescent="0.2">
      <c r="A19" s="37">
        <v>8</v>
      </c>
      <c r="B19" s="90"/>
      <c r="C19" s="154"/>
      <c r="D19" s="313" t="str">
        <f>IF(C19="","",VLOOKUP(C19,'Formulation Pre-Products'!$B$13:$E$61,4,FALSE))</f>
        <v/>
      </c>
      <c r="E19" s="102"/>
      <c r="F19" s="153">
        <f t="shared" si="1"/>
        <v>0</v>
      </c>
      <c r="G19" s="102"/>
      <c r="H19" s="90"/>
      <c r="I19" s="153" t="str">
        <f t="shared" si="5"/>
        <v/>
      </c>
      <c r="J19" s="107"/>
      <c r="K19" s="90"/>
      <c r="L19" s="88"/>
      <c r="M19" s="87"/>
      <c r="N19" s="94"/>
      <c r="O19" s="102"/>
      <c r="P19" s="102"/>
      <c r="Q19" s="318" t="str">
        <f>IF(B19="","",IF(OR(H19=Languages!$A$69,H19=Languages!$B$69),"Y","N"))</f>
        <v/>
      </c>
      <c r="R19" s="318" t="str">
        <f t="shared" si="2"/>
        <v>N</v>
      </c>
      <c r="S19" s="318" t="str">
        <f t="shared" si="3"/>
        <v>N</v>
      </c>
      <c r="T19" s="318" t="str">
        <f t="shared" si="4"/>
        <v>N</v>
      </c>
      <c r="U19" s="319"/>
      <c r="V19" s="251">
        <v>330</v>
      </c>
      <c r="W19" s="18"/>
    </row>
    <row r="20" spans="1:23" ht="16" x14ac:dyDescent="0.2">
      <c r="A20" s="37">
        <v>9</v>
      </c>
      <c r="B20" s="90"/>
      <c r="C20" s="154"/>
      <c r="D20" s="313" t="str">
        <f>IF(C20="","",VLOOKUP(C20,'Formulation Pre-Products'!$B$13:$E$61,4,FALSE))</f>
        <v/>
      </c>
      <c r="E20" s="102"/>
      <c r="F20" s="153">
        <f t="shared" si="1"/>
        <v>0</v>
      </c>
      <c r="G20" s="102"/>
      <c r="H20" s="90"/>
      <c r="I20" s="153" t="str">
        <f t="shared" si="5"/>
        <v/>
      </c>
      <c r="J20" s="107"/>
      <c r="K20" s="90"/>
      <c r="L20" s="88"/>
      <c r="M20" s="87"/>
      <c r="N20" s="94"/>
      <c r="O20" s="102"/>
      <c r="P20" s="102"/>
      <c r="Q20" s="318" t="str">
        <f>IF(B20="","",IF(OR(H20=Languages!$A$69,H20=Languages!$B$69),"Y","N"))</f>
        <v/>
      </c>
      <c r="R20" s="318" t="str">
        <f t="shared" si="2"/>
        <v>N</v>
      </c>
      <c r="S20" s="318" t="str">
        <f t="shared" si="3"/>
        <v>N</v>
      </c>
      <c r="T20" s="318" t="str">
        <f t="shared" si="4"/>
        <v>N</v>
      </c>
      <c r="U20" s="319"/>
      <c r="V20" s="251">
        <v>331</v>
      </c>
      <c r="W20" s="18"/>
    </row>
    <row r="21" spans="1:23" ht="16" x14ac:dyDescent="0.2">
      <c r="A21" s="37">
        <v>10</v>
      </c>
      <c r="B21" s="90"/>
      <c r="C21" s="154"/>
      <c r="D21" s="313" t="str">
        <f>IF(C21="","",VLOOKUP(C21,'Formulation Pre-Products'!$B$13:$E$61,4,FALSE))</f>
        <v/>
      </c>
      <c r="E21" s="102"/>
      <c r="F21" s="153">
        <f t="shared" si="1"/>
        <v>0</v>
      </c>
      <c r="G21" s="102"/>
      <c r="H21" s="90"/>
      <c r="I21" s="153" t="str">
        <f t="shared" si="5"/>
        <v/>
      </c>
      <c r="J21" s="107"/>
      <c r="K21" s="90"/>
      <c r="L21" s="88"/>
      <c r="M21" s="87"/>
      <c r="N21" s="94"/>
      <c r="O21" s="102"/>
      <c r="P21" s="102"/>
      <c r="Q21" s="318" t="str">
        <f>IF(B21="","",IF(OR(H21=Languages!$A$69,H21=Languages!$B$69),"Y","N"))</f>
        <v/>
      </c>
      <c r="R21" s="318" t="str">
        <f t="shared" si="2"/>
        <v>N</v>
      </c>
      <c r="S21" s="318" t="str">
        <f t="shared" si="3"/>
        <v>N</v>
      </c>
      <c r="T21" s="318" t="str">
        <f t="shared" si="4"/>
        <v>N</v>
      </c>
      <c r="U21" s="319"/>
      <c r="V21" s="251">
        <v>334</v>
      </c>
      <c r="W21" s="18"/>
    </row>
    <row r="22" spans="1:23" ht="16" x14ac:dyDescent="0.2">
      <c r="A22" s="37">
        <v>11</v>
      </c>
      <c r="B22" s="90"/>
      <c r="C22" s="154"/>
      <c r="D22" s="313" t="str">
        <f>IF(C22="","",VLOOKUP(C22,'Formulation Pre-Products'!$B$13:$E$61,4,FALSE))</f>
        <v/>
      </c>
      <c r="E22" s="102"/>
      <c r="F22" s="153">
        <f t="shared" si="1"/>
        <v>0</v>
      </c>
      <c r="G22" s="102"/>
      <c r="H22" s="90"/>
      <c r="I22" s="153" t="str">
        <f t="shared" si="5"/>
        <v/>
      </c>
      <c r="J22" s="107"/>
      <c r="K22" s="90"/>
      <c r="L22" s="88"/>
      <c r="M22" s="87"/>
      <c r="N22" s="94"/>
      <c r="O22" s="102"/>
      <c r="P22" s="102"/>
      <c r="Q22" s="318" t="str">
        <f>IF(B22="","",IF(OR(H22=Languages!$A$69,H22=Languages!$B$69),"Y","N"))</f>
        <v/>
      </c>
      <c r="R22" s="318" t="str">
        <f t="shared" si="2"/>
        <v>N</v>
      </c>
      <c r="S22" s="318" t="str">
        <f t="shared" si="3"/>
        <v>N</v>
      </c>
      <c r="T22" s="318" t="str">
        <f t="shared" si="4"/>
        <v>N</v>
      </c>
      <c r="U22" s="319"/>
      <c r="V22" s="251">
        <v>340</v>
      </c>
      <c r="W22" s="18"/>
    </row>
    <row r="23" spans="1:23" ht="16" x14ac:dyDescent="0.2">
      <c r="A23" s="37">
        <v>12</v>
      </c>
      <c r="B23" s="90"/>
      <c r="C23" s="154"/>
      <c r="D23" s="313" t="str">
        <f>IF(C23="","",VLOOKUP(C23,'Formulation Pre-Products'!$B$13:$E$61,4,FALSE))</f>
        <v/>
      </c>
      <c r="E23" s="102"/>
      <c r="F23" s="153">
        <f t="shared" si="1"/>
        <v>0</v>
      </c>
      <c r="G23" s="102"/>
      <c r="H23" s="90"/>
      <c r="I23" s="153" t="str">
        <f t="shared" si="5"/>
        <v/>
      </c>
      <c r="J23" s="107"/>
      <c r="K23" s="90"/>
      <c r="L23" s="88"/>
      <c r="M23" s="87"/>
      <c r="N23" s="94"/>
      <c r="O23" s="102"/>
      <c r="P23" s="102"/>
      <c r="Q23" s="318" t="str">
        <f>IF(B23="","",IF(OR(H23=Languages!$A$69,H23=Languages!$B$69),"Y","N"))</f>
        <v/>
      </c>
      <c r="R23" s="318" t="str">
        <f t="shared" si="2"/>
        <v>N</v>
      </c>
      <c r="S23" s="318" t="str">
        <f t="shared" si="3"/>
        <v>N</v>
      </c>
      <c r="T23" s="318" t="str">
        <f t="shared" si="4"/>
        <v>N</v>
      </c>
      <c r="U23" s="319"/>
      <c r="V23" s="251">
        <v>341</v>
      </c>
      <c r="W23" s="18"/>
    </row>
    <row r="24" spans="1:23" ht="16" x14ac:dyDescent="0.2">
      <c r="A24" s="37">
        <v>13</v>
      </c>
      <c r="B24" s="90"/>
      <c r="C24" s="154"/>
      <c r="D24" s="313" t="str">
        <f>IF(C24="","",VLOOKUP(C24,'Formulation Pre-Products'!$B$13:$E$61,4,FALSE))</f>
        <v/>
      </c>
      <c r="E24" s="102"/>
      <c r="F24" s="153">
        <f t="shared" si="1"/>
        <v>0</v>
      </c>
      <c r="G24" s="102"/>
      <c r="H24" s="90"/>
      <c r="I24" s="153" t="str">
        <f t="shared" si="5"/>
        <v/>
      </c>
      <c r="J24" s="107"/>
      <c r="K24" s="90"/>
      <c r="L24" s="88"/>
      <c r="M24" s="87"/>
      <c r="N24" s="94"/>
      <c r="O24" s="102"/>
      <c r="P24" s="102"/>
      <c r="Q24" s="318" t="str">
        <f>IF(B24="","",IF(OR(H24=Languages!$A$69,H24=Languages!$B$69),"Y","N"))</f>
        <v/>
      </c>
      <c r="R24" s="318" t="str">
        <f t="shared" si="2"/>
        <v>N</v>
      </c>
      <c r="S24" s="318" t="str">
        <f t="shared" si="3"/>
        <v>N</v>
      </c>
      <c r="T24" s="318" t="str">
        <f t="shared" si="4"/>
        <v>N</v>
      </c>
      <c r="U24" s="319"/>
      <c r="V24" s="251">
        <v>350</v>
      </c>
      <c r="W24" s="18"/>
    </row>
    <row r="25" spans="1:23" ht="16" x14ac:dyDescent="0.2">
      <c r="A25" s="37">
        <v>14</v>
      </c>
      <c r="B25" s="90"/>
      <c r="C25" s="154"/>
      <c r="D25" s="313" t="str">
        <f>IF(C25="","",VLOOKUP(C25,'Formulation Pre-Products'!$B$13:$E$61,4,FALSE))</f>
        <v/>
      </c>
      <c r="E25" s="102"/>
      <c r="F25" s="153">
        <f t="shared" si="1"/>
        <v>0</v>
      </c>
      <c r="G25" s="102"/>
      <c r="H25" s="90"/>
      <c r="I25" s="153" t="str">
        <f t="shared" si="5"/>
        <v/>
      </c>
      <c r="J25" s="107"/>
      <c r="K25" s="90"/>
      <c r="L25" s="88"/>
      <c r="M25" s="87"/>
      <c r="N25" s="94"/>
      <c r="O25" s="102"/>
      <c r="P25" s="102"/>
      <c r="Q25" s="318" t="str">
        <f>IF(B25="","",IF(OR(H25=Languages!$A$69,H25=Languages!$B$69),"Y","N"))</f>
        <v/>
      </c>
      <c r="R25" s="318" t="str">
        <f t="shared" si="2"/>
        <v>N</v>
      </c>
      <c r="S25" s="318" t="str">
        <f t="shared" si="3"/>
        <v>N</v>
      </c>
      <c r="T25" s="318" t="str">
        <f t="shared" si="4"/>
        <v>N</v>
      </c>
      <c r="U25" s="319"/>
      <c r="V25" s="251">
        <v>351</v>
      </c>
      <c r="W25" s="18"/>
    </row>
    <row r="26" spans="1:23" ht="16" x14ac:dyDescent="0.2">
      <c r="A26" s="37">
        <v>15</v>
      </c>
      <c r="B26" s="90"/>
      <c r="C26" s="154"/>
      <c r="D26" s="313" t="str">
        <f>IF(C26="","",VLOOKUP(C26,'Formulation Pre-Products'!$B$13:$E$61,4,FALSE))</f>
        <v/>
      </c>
      <c r="E26" s="102"/>
      <c r="F26" s="153">
        <f t="shared" si="1"/>
        <v>0</v>
      </c>
      <c r="G26" s="102"/>
      <c r="H26" s="90"/>
      <c r="I26" s="153" t="str">
        <f t="shared" si="5"/>
        <v/>
      </c>
      <c r="J26" s="107"/>
      <c r="K26" s="90"/>
      <c r="L26" s="88"/>
      <c r="M26" s="87"/>
      <c r="N26" s="94"/>
      <c r="O26" s="102"/>
      <c r="P26" s="102"/>
      <c r="Q26" s="318" t="str">
        <f>IF(B26="","",IF(OR(H26=Languages!$A$69,H26=Languages!$B$69),"Y","N"))</f>
        <v/>
      </c>
      <c r="R26" s="318" t="str">
        <f t="shared" si="2"/>
        <v>N</v>
      </c>
      <c r="S26" s="318" t="str">
        <f t="shared" si="3"/>
        <v>N</v>
      </c>
      <c r="T26" s="318" t="str">
        <f t="shared" si="4"/>
        <v>N</v>
      </c>
      <c r="U26" s="319"/>
      <c r="V26" s="251">
        <v>360</v>
      </c>
      <c r="W26" s="18"/>
    </row>
    <row r="27" spans="1:23" ht="16" x14ac:dyDescent="0.2">
      <c r="A27" s="37">
        <v>16</v>
      </c>
      <c r="B27" s="90"/>
      <c r="C27" s="154"/>
      <c r="D27" s="313" t="str">
        <f>IF(C27="","",VLOOKUP(C27,'Formulation Pre-Products'!$B$13:$E$61,4,FALSE))</f>
        <v/>
      </c>
      <c r="E27" s="102"/>
      <c r="F27" s="153">
        <f t="shared" si="1"/>
        <v>0</v>
      </c>
      <c r="G27" s="102"/>
      <c r="H27" s="90"/>
      <c r="I27" s="153" t="str">
        <f t="shared" si="5"/>
        <v/>
      </c>
      <c r="J27" s="107"/>
      <c r="K27" s="90"/>
      <c r="L27" s="88"/>
      <c r="M27" s="87"/>
      <c r="N27" s="94"/>
      <c r="O27" s="102"/>
      <c r="P27" s="102"/>
      <c r="Q27" s="318" t="str">
        <f>IF(B27="","",IF(OR(H27=Languages!$A$69,H27=Languages!$B$69),"Y","N"))</f>
        <v/>
      </c>
      <c r="R27" s="318" t="str">
        <f t="shared" si="2"/>
        <v>N</v>
      </c>
      <c r="S27" s="318" t="str">
        <f t="shared" si="3"/>
        <v>N</v>
      </c>
      <c r="T27" s="318" t="str">
        <f t="shared" si="4"/>
        <v>N</v>
      </c>
      <c r="U27" s="319"/>
      <c r="V27" s="251">
        <v>361</v>
      </c>
      <c r="W27" s="18"/>
    </row>
    <row r="28" spans="1:23" ht="16" x14ac:dyDescent="0.2">
      <c r="A28" s="37">
        <v>17</v>
      </c>
      <c r="B28" s="90"/>
      <c r="C28" s="154"/>
      <c r="D28" s="313" t="str">
        <f>IF(C28="","",VLOOKUP(C28,'Formulation Pre-Products'!$B$13:$E$61,4,FALSE))</f>
        <v/>
      </c>
      <c r="E28" s="102"/>
      <c r="F28" s="153">
        <f t="shared" si="1"/>
        <v>0</v>
      </c>
      <c r="G28" s="102"/>
      <c r="H28" s="90"/>
      <c r="I28" s="153" t="str">
        <f t="shared" si="5"/>
        <v/>
      </c>
      <c r="J28" s="107"/>
      <c r="K28" s="90"/>
      <c r="L28" s="88"/>
      <c r="M28" s="87"/>
      <c r="N28" s="94"/>
      <c r="O28" s="102"/>
      <c r="P28" s="102"/>
      <c r="Q28" s="318" t="str">
        <f>IF(B28="","",IF(OR(H28=Languages!$A$69,H28=Languages!$B$69),"Y","N"))</f>
        <v/>
      </c>
      <c r="R28" s="318" t="str">
        <f t="shared" si="2"/>
        <v>N</v>
      </c>
      <c r="S28" s="318" t="str">
        <f t="shared" si="3"/>
        <v>N</v>
      </c>
      <c r="T28" s="318" t="str">
        <f t="shared" si="4"/>
        <v>N</v>
      </c>
      <c r="U28" s="319"/>
      <c r="V28" s="251">
        <v>362</v>
      </c>
      <c r="W28" s="18"/>
    </row>
    <row r="29" spans="1:23" ht="16" x14ac:dyDescent="0.2">
      <c r="A29" s="37">
        <v>18</v>
      </c>
      <c r="B29" s="90"/>
      <c r="C29" s="154"/>
      <c r="D29" s="313" t="str">
        <f>IF(C29="","",VLOOKUP(C29,'Formulation Pre-Products'!$B$13:$E$61,4,FALSE))</f>
        <v/>
      </c>
      <c r="E29" s="102"/>
      <c r="F29" s="153">
        <f t="shared" si="1"/>
        <v>0</v>
      </c>
      <c r="G29" s="102"/>
      <c r="H29" s="90"/>
      <c r="I29" s="153" t="str">
        <f t="shared" si="5"/>
        <v/>
      </c>
      <c r="J29" s="107"/>
      <c r="K29" s="90"/>
      <c r="L29" s="88"/>
      <c r="M29" s="87"/>
      <c r="N29" s="94"/>
      <c r="O29" s="102"/>
      <c r="P29" s="102"/>
      <c r="Q29" s="318" t="str">
        <f>IF(B29="","",IF(OR(H29=Languages!$A$69,H29=Languages!$B$69),"Y","N"))</f>
        <v/>
      </c>
      <c r="R29" s="318" t="str">
        <f t="shared" si="2"/>
        <v>N</v>
      </c>
      <c r="S29" s="318" t="str">
        <f t="shared" si="3"/>
        <v>N</v>
      </c>
      <c r="T29" s="318" t="str">
        <f t="shared" si="4"/>
        <v>N</v>
      </c>
      <c r="U29" s="319"/>
      <c r="V29" s="251">
        <v>370</v>
      </c>
      <c r="W29" s="18"/>
    </row>
    <row r="30" spans="1:23" ht="16" x14ac:dyDescent="0.2">
      <c r="A30" s="37">
        <v>19</v>
      </c>
      <c r="B30" s="90"/>
      <c r="C30" s="154"/>
      <c r="D30" s="313" t="str">
        <f>IF(C30="","",VLOOKUP(C30,'Formulation Pre-Products'!$B$13:$E$61,4,FALSE))</f>
        <v/>
      </c>
      <c r="E30" s="102"/>
      <c r="F30" s="153">
        <f t="shared" si="1"/>
        <v>0</v>
      </c>
      <c r="G30" s="102"/>
      <c r="H30" s="90"/>
      <c r="I30" s="153" t="str">
        <f t="shared" si="5"/>
        <v/>
      </c>
      <c r="J30" s="107"/>
      <c r="K30" s="90"/>
      <c r="L30" s="88"/>
      <c r="M30" s="87"/>
      <c r="N30" s="94"/>
      <c r="O30" s="102"/>
      <c r="P30" s="102"/>
      <c r="Q30" s="318" t="str">
        <f>IF(B30="","",IF(OR(H30=Languages!$A$69,H30=Languages!$B$69),"Y","N"))</f>
        <v/>
      </c>
      <c r="R30" s="318" t="str">
        <f t="shared" si="2"/>
        <v>N</v>
      </c>
      <c r="S30" s="318" t="str">
        <f t="shared" si="3"/>
        <v>N</v>
      </c>
      <c r="T30" s="318" t="str">
        <f t="shared" si="4"/>
        <v>N</v>
      </c>
      <c r="U30" s="319"/>
      <c r="V30" s="251">
        <v>371</v>
      </c>
      <c r="W30" s="18"/>
    </row>
    <row r="31" spans="1:23" ht="16" x14ac:dyDescent="0.2">
      <c r="A31" s="37">
        <v>20</v>
      </c>
      <c r="B31" s="90"/>
      <c r="C31" s="154"/>
      <c r="D31" s="313" t="str">
        <f>IF(C31="","",VLOOKUP(C31,'Formulation Pre-Products'!$B$13:$E$61,4,FALSE))</f>
        <v/>
      </c>
      <c r="E31" s="102"/>
      <c r="F31" s="153">
        <f t="shared" si="1"/>
        <v>0</v>
      </c>
      <c r="G31" s="102"/>
      <c r="H31" s="90"/>
      <c r="I31" s="153" t="str">
        <f t="shared" si="5"/>
        <v/>
      </c>
      <c r="J31" s="107"/>
      <c r="K31" s="90"/>
      <c r="L31" s="88"/>
      <c r="M31" s="87"/>
      <c r="N31" s="94"/>
      <c r="O31" s="102"/>
      <c r="P31" s="102"/>
      <c r="Q31" s="318" t="str">
        <f>IF(B31="","",IF(OR(H31=Languages!$A$69,H31=Languages!$B$69),"Y","N"))</f>
        <v/>
      </c>
      <c r="R31" s="318" t="str">
        <f t="shared" si="2"/>
        <v>N</v>
      </c>
      <c r="S31" s="318" t="str">
        <f t="shared" si="3"/>
        <v>N</v>
      </c>
      <c r="T31" s="318" t="str">
        <f t="shared" si="4"/>
        <v>N</v>
      </c>
      <c r="U31" s="319"/>
      <c r="V31" s="251">
        <v>372</v>
      </c>
      <c r="W31" s="18"/>
    </row>
    <row r="32" spans="1:23" ht="16" x14ac:dyDescent="0.2">
      <c r="A32" s="37">
        <v>21</v>
      </c>
      <c r="B32" s="90"/>
      <c r="C32" s="154"/>
      <c r="D32" s="313" t="str">
        <f>IF(C32="","",VLOOKUP(C32,'Formulation Pre-Products'!$B$13:$E$61,4,FALSE))</f>
        <v/>
      </c>
      <c r="E32" s="102"/>
      <c r="F32" s="153">
        <f t="shared" si="1"/>
        <v>0</v>
      </c>
      <c r="G32" s="102"/>
      <c r="H32" s="90"/>
      <c r="I32" s="153" t="str">
        <f t="shared" si="5"/>
        <v/>
      </c>
      <c r="J32" s="107"/>
      <c r="K32" s="90"/>
      <c r="L32" s="88"/>
      <c r="M32" s="87"/>
      <c r="N32" s="94"/>
      <c r="O32" s="102"/>
      <c r="P32" s="102"/>
      <c r="Q32" s="318" t="str">
        <f>IF(B32="","",IF(OR(H32=Languages!$A$69,H32=Languages!$B$69),"Y","N"))</f>
        <v/>
      </c>
      <c r="R32" s="318" t="str">
        <f t="shared" si="2"/>
        <v>N</v>
      </c>
      <c r="S32" s="318" t="str">
        <f t="shared" si="3"/>
        <v>N</v>
      </c>
      <c r="T32" s="318" t="str">
        <f t="shared" si="4"/>
        <v>N</v>
      </c>
      <c r="U32" s="319"/>
      <c r="V32" s="251">
        <v>373</v>
      </c>
      <c r="W32" s="18"/>
    </row>
    <row r="33" spans="1:23" ht="16" x14ac:dyDescent="0.2">
      <c r="A33" s="37">
        <v>22</v>
      </c>
      <c r="B33" s="90"/>
      <c r="C33" s="154"/>
      <c r="D33" s="313" t="str">
        <f>IF(C33="","",VLOOKUP(C33,'Formulation Pre-Products'!$B$13:$E$61,4,FALSE))</f>
        <v/>
      </c>
      <c r="E33" s="102"/>
      <c r="F33" s="153">
        <f t="shared" si="1"/>
        <v>0</v>
      </c>
      <c r="G33" s="102"/>
      <c r="H33" s="90"/>
      <c r="I33" s="153" t="str">
        <f t="shared" si="5"/>
        <v/>
      </c>
      <c r="J33" s="107"/>
      <c r="K33" s="90"/>
      <c r="L33" s="88"/>
      <c r="M33" s="87"/>
      <c r="N33" s="94"/>
      <c r="O33" s="102"/>
      <c r="P33" s="102"/>
      <c r="Q33" s="318" t="str">
        <f>IF(B33="","",IF(OR(H33=Languages!$A$69,H33=Languages!$B$69),"Y","N"))</f>
        <v/>
      </c>
      <c r="R33" s="318" t="str">
        <f t="shared" si="2"/>
        <v>N</v>
      </c>
      <c r="S33" s="318" t="str">
        <f t="shared" si="3"/>
        <v>N</v>
      </c>
      <c r="T33" s="318" t="str">
        <f t="shared" si="4"/>
        <v>N</v>
      </c>
      <c r="U33" s="319"/>
      <c r="V33" s="251">
        <v>400</v>
      </c>
      <c r="W33" s="18"/>
    </row>
    <row r="34" spans="1:23" ht="16" x14ac:dyDescent="0.2">
      <c r="A34" s="37">
        <v>23</v>
      </c>
      <c r="B34" s="90"/>
      <c r="C34" s="154"/>
      <c r="D34" s="313" t="str">
        <f>IF(C34="","",VLOOKUP(C34,'Formulation Pre-Products'!$B$13:$E$61,4,FALSE))</f>
        <v/>
      </c>
      <c r="E34" s="102"/>
      <c r="F34" s="153">
        <f t="shared" si="1"/>
        <v>0</v>
      </c>
      <c r="G34" s="102"/>
      <c r="H34" s="90"/>
      <c r="I34" s="153" t="str">
        <f t="shared" si="5"/>
        <v/>
      </c>
      <c r="J34" s="107"/>
      <c r="K34" s="90"/>
      <c r="L34" s="88"/>
      <c r="M34" s="87"/>
      <c r="N34" s="94"/>
      <c r="O34" s="102"/>
      <c r="P34" s="102"/>
      <c r="Q34" s="318" t="str">
        <f>IF(B34="","",IF(OR(H34=Languages!$A$69,H34=Languages!$B$69),"Y","N"))</f>
        <v/>
      </c>
      <c r="R34" s="318" t="str">
        <f t="shared" si="2"/>
        <v>N</v>
      </c>
      <c r="S34" s="318" t="str">
        <f t="shared" si="3"/>
        <v>N</v>
      </c>
      <c r="T34" s="318" t="str">
        <f t="shared" si="4"/>
        <v>N</v>
      </c>
      <c r="U34" s="319"/>
      <c r="V34" s="251">
        <v>410</v>
      </c>
      <c r="W34" s="18"/>
    </row>
    <row r="35" spans="1:23" ht="16" x14ac:dyDescent="0.2">
      <c r="A35" s="37">
        <v>24</v>
      </c>
      <c r="B35" s="90"/>
      <c r="C35" s="154"/>
      <c r="D35" s="313" t="str">
        <f>IF(C35="","",VLOOKUP(C35,'Formulation Pre-Products'!$B$13:$E$61,4,FALSE))</f>
        <v/>
      </c>
      <c r="E35" s="102"/>
      <c r="F35" s="153">
        <f t="shared" si="1"/>
        <v>0</v>
      </c>
      <c r="G35" s="102"/>
      <c r="H35" s="90"/>
      <c r="I35" s="153" t="str">
        <f t="shared" si="5"/>
        <v/>
      </c>
      <c r="J35" s="107"/>
      <c r="K35" s="90"/>
      <c r="L35" s="88"/>
      <c r="M35" s="87"/>
      <c r="N35" s="94"/>
      <c r="O35" s="102"/>
      <c r="P35" s="102"/>
      <c r="Q35" s="318" t="str">
        <f>IF(B35="","",IF(OR(H35=Languages!$A$69,H35=Languages!$B$69),"Y","N"))</f>
        <v/>
      </c>
      <c r="R35" s="318" t="str">
        <f t="shared" si="2"/>
        <v>N</v>
      </c>
      <c r="S35" s="318" t="str">
        <f t="shared" si="3"/>
        <v>N</v>
      </c>
      <c r="T35" s="318" t="str">
        <f t="shared" si="4"/>
        <v>N</v>
      </c>
      <c r="U35" s="319"/>
      <c r="V35" s="251">
        <v>411</v>
      </c>
      <c r="W35" s="18"/>
    </row>
    <row r="36" spans="1:23" ht="16" x14ac:dyDescent="0.2">
      <c r="A36" s="37">
        <v>25</v>
      </c>
      <c r="B36" s="90"/>
      <c r="C36" s="154"/>
      <c r="D36" s="313" t="str">
        <f>IF(C36="","",VLOOKUP(C36,'Formulation Pre-Products'!$B$13:$E$61,4,FALSE))</f>
        <v/>
      </c>
      <c r="E36" s="102"/>
      <c r="F36" s="153">
        <f t="shared" si="1"/>
        <v>0</v>
      </c>
      <c r="G36" s="102"/>
      <c r="H36" s="90"/>
      <c r="I36" s="153" t="str">
        <f t="shared" si="5"/>
        <v/>
      </c>
      <c r="J36" s="107"/>
      <c r="K36" s="90"/>
      <c r="L36" s="88"/>
      <c r="M36" s="87"/>
      <c r="N36" s="94"/>
      <c r="O36" s="102"/>
      <c r="P36" s="102"/>
      <c r="Q36" s="318" t="str">
        <f>IF(B36="","",IF(OR(H36=Languages!$A$69,H36=Languages!$B$69),"Y","N"))</f>
        <v/>
      </c>
      <c r="R36" s="318" t="str">
        <f t="shared" si="2"/>
        <v>N</v>
      </c>
      <c r="S36" s="318" t="str">
        <f t="shared" si="3"/>
        <v>N</v>
      </c>
      <c r="T36" s="318" t="str">
        <f t="shared" si="4"/>
        <v>N</v>
      </c>
      <c r="U36" s="319"/>
      <c r="V36" s="251">
        <v>412</v>
      </c>
      <c r="W36" s="18"/>
    </row>
    <row r="37" spans="1:23" ht="16" x14ac:dyDescent="0.2">
      <c r="A37" s="37">
        <v>26</v>
      </c>
      <c r="B37" s="90"/>
      <c r="C37" s="154"/>
      <c r="D37" s="313" t="str">
        <f>IF(C37="","",VLOOKUP(C37,'Formulation Pre-Products'!$B$13:$E$61,4,FALSE))</f>
        <v/>
      </c>
      <c r="E37" s="102"/>
      <c r="F37" s="153">
        <f t="shared" si="1"/>
        <v>0</v>
      </c>
      <c r="G37" s="102"/>
      <c r="H37" s="90"/>
      <c r="I37" s="153" t="str">
        <f t="shared" si="5"/>
        <v/>
      </c>
      <c r="J37" s="107"/>
      <c r="K37" s="90"/>
      <c r="L37" s="88"/>
      <c r="M37" s="87"/>
      <c r="N37" s="94"/>
      <c r="O37" s="102"/>
      <c r="P37" s="102"/>
      <c r="Q37" s="318" t="str">
        <f>IF(B37="","",IF(OR(H37=Languages!$A$69,H37=Languages!$B$69),"Y","N"))</f>
        <v/>
      </c>
      <c r="R37" s="318" t="str">
        <f t="shared" si="2"/>
        <v>N</v>
      </c>
      <c r="S37" s="318" t="str">
        <f t="shared" si="3"/>
        <v>N</v>
      </c>
      <c r="T37" s="318" t="str">
        <f t="shared" si="4"/>
        <v>N</v>
      </c>
      <c r="U37" s="319"/>
      <c r="V37" s="251">
        <v>413</v>
      </c>
      <c r="W37" s="18"/>
    </row>
    <row r="38" spans="1:23" ht="16" x14ac:dyDescent="0.2">
      <c r="A38" s="37">
        <v>27</v>
      </c>
      <c r="B38" s="90"/>
      <c r="C38" s="154"/>
      <c r="D38" s="313" t="str">
        <f>IF(C38="","",VLOOKUP(C38,'Formulation Pre-Products'!$B$13:$E$61,4,FALSE))</f>
        <v/>
      </c>
      <c r="E38" s="102"/>
      <c r="F38" s="153">
        <f t="shared" si="1"/>
        <v>0</v>
      </c>
      <c r="G38" s="102"/>
      <c r="H38" s="90"/>
      <c r="I38" s="153" t="str">
        <f t="shared" si="5"/>
        <v/>
      </c>
      <c r="J38" s="107"/>
      <c r="K38" s="90"/>
      <c r="L38" s="88"/>
      <c r="M38" s="87"/>
      <c r="N38" s="94"/>
      <c r="O38" s="102"/>
      <c r="P38" s="102"/>
      <c r="Q38" s="318" t="str">
        <f>IF(B38="","",IF(OR(H38=Languages!$A$69,H38=Languages!$B$69),"Y","N"))</f>
        <v/>
      </c>
      <c r="R38" s="318" t="str">
        <f t="shared" si="2"/>
        <v>N</v>
      </c>
      <c r="S38" s="318" t="str">
        <f t="shared" si="3"/>
        <v>N</v>
      </c>
      <c r="T38" s="318" t="str">
        <f t="shared" si="4"/>
        <v>N</v>
      </c>
      <c r="U38" s="319"/>
      <c r="V38" s="252" t="s">
        <v>635</v>
      </c>
      <c r="W38" s="18"/>
    </row>
    <row r="39" spans="1:23" ht="16" x14ac:dyDescent="0.2">
      <c r="A39" s="37">
        <v>28</v>
      </c>
      <c r="B39" s="90"/>
      <c r="C39" s="154"/>
      <c r="D39" s="313" t="str">
        <f>IF(C39="","",VLOOKUP(C39,'Formulation Pre-Products'!$B$13:$E$61,4,FALSE))</f>
        <v/>
      </c>
      <c r="E39" s="102"/>
      <c r="F39" s="153">
        <f t="shared" si="1"/>
        <v>0</v>
      </c>
      <c r="G39" s="102"/>
      <c r="H39" s="90"/>
      <c r="I39" s="153" t="str">
        <f t="shared" si="5"/>
        <v/>
      </c>
      <c r="J39" s="107"/>
      <c r="K39" s="90"/>
      <c r="L39" s="88"/>
      <c r="M39" s="87"/>
      <c r="N39" s="94"/>
      <c r="O39" s="102"/>
      <c r="P39" s="102"/>
      <c r="Q39" s="318" t="str">
        <f>IF(B39="","",IF(OR(H39=Languages!$A$69,H39=Languages!$B$69),"Y","N"))</f>
        <v/>
      </c>
      <c r="R39" s="318" t="str">
        <f t="shared" si="2"/>
        <v>N</v>
      </c>
      <c r="S39" s="318" t="str">
        <f t="shared" si="3"/>
        <v>N</v>
      </c>
      <c r="T39" s="318" t="str">
        <f t="shared" si="4"/>
        <v>N</v>
      </c>
      <c r="U39" s="319"/>
      <c r="V39" s="252"/>
      <c r="W39" s="18"/>
    </row>
    <row r="40" spans="1:23" ht="16" x14ac:dyDescent="0.2">
      <c r="A40" s="37">
        <v>29</v>
      </c>
      <c r="B40" s="90"/>
      <c r="C40" s="154"/>
      <c r="D40" s="313" t="str">
        <f>IF(C40="","",VLOOKUP(C40,'Formulation Pre-Products'!$B$13:$E$61,4,FALSE))</f>
        <v/>
      </c>
      <c r="E40" s="102"/>
      <c r="F40" s="153">
        <f t="shared" si="1"/>
        <v>0</v>
      </c>
      <c r="G40" s="102"/>
      <c r="H40" s="90"/>
      <c r="I40" s="153" t="str">
        <f t="shared" si="5"/>
        <v/>
      </c>
      <c r="J40" s="107"/>
      <c r="K40" s="90"/>
      <c r="L40" s="88"/>
      <c r="M40" s="87"/>
      <c r="N40" s="94"/>
      <c r="O40" s="102"/>
      <c r="P40" s="102"/>
      <c r="Q40" s="318" t="str">
        <f>IF(B40="","",IF(OR(H40=Languages!$A$69,H40=Languages!$B$69),"Y","N"))</f>
        <v/>
      </c>
      <c r="R40" s="318" t="str">
        <f t="shared" si="2"/>
        <v>N</v>
      </c>
      <c r="S40" s="318" t="str">
        <f t="shared" si="3"/>
        <v>N</v>
      </c>
      <c r="T40" s="318" t="str">
        <f t="shared" si="4"/>
        <v>N</v>
      </c>
      <c r="U40" s="319"/>
      <c r="V40" s="140"/>
      <c r="W40" s="18"/>
    </row>
    <row r="41" spans="1:23" ht="16" x14ac:dyDescent="0.2">
      <c r="A41" s="37">
        <v>30</v>
      </c>
      <c r="B41" s="90"/>
      <c r="C41" s="154"/>
      <c r="D41" s="313" t="str">
        <f>IF(C41="","",VLOOKUP(C41,'Formulation Pre-Products'!$B$13:$E$61,4,FALSE))</f>
        <v/>
      </c>
      <c r="E41" s="102"/>
      <c r="F41" s="153">
        <f t="shared" si="1"/>
        <v>0</v>
      </c>
      <c r="G41" s="102"/>
      <c r="H41" s="90"/>
      <c r="I41" s="153" t="str">
        <f t="shared" si="5"/>
        <v/>
      </c>
      <c r="J41" s="107"/>
      <c r="K41" s="90"/>
      <c r="L41" s="88"/>
      <c r="M41" s="87"/>
      <c r="N41" s="94"/>
      <c r="O41" s="102"/>
      <c r="P41" s="102"/>
      <c r="Q41" s="318" t="str">
        <f>IF(B41="","",IF(OR(H41=Languages!$A$69,H41=Languages!$B$69),"Y","N"))</f>
        <v/>
      </c>
      <c r="R41" s="318" t="str">
        <f t="shared" si="2"/>
        <v>N</v>
      </c>
      <c r="S41" s="318" t="str">
        <f t="shared" si="3"/>
        <v>N</v>
      </c>
      <c r="T41" s="318" t="str">
        <f t="shared" si="4"/>
        <v>N</v>
      </c>
      <c r="U41" s="319"/>
      <c r="V41" s="251"/>
      <c r="W41" s="18"/>
    </row>
    <row r="42" spans="1:23" ht="16" x14ac:dyDescent="0.2">
      <c r="A42" s="37">
        <v>31</v>
      </c>
      <c r="B42" s="90"/>
      <c r="C42" s="154"/>
      <c r="D42" s="313" t="str">
        <f>IF(C42="","",VLOOKUP(C42,'Formulation Pre-Products'!$B$13:$E$61,4,FALSE))</f>
        <v/>
      </c>
      <c r="E42" s="102"/>
      <c r="F42" s="153">
        <f t="shared" si="1"/>
        <v>0</v>
      </c>
      <c r="G42" s="102"/>
      <c r="H42" s="90"/>
      <c r="I42" s="153" t="str">
        <f t="shared" si="5"/>
        <v/>
      </c>
      <c r="J42" s="107"/>
      <c r="K42" s="90"/>
      <c r="L42" s="88"/>
      <c r="M42" s="87"/>
      <c r="N42" s="94"/>
      <c r="O42" s="102"/>
      <c r="P42" s="102"/>
      <c r="Q42" s="318" t="str">
        <f>IF(B42="","",IF(OR(H42=Languages!$A$69,H42=Languages!$B$69),"Y","N"))</f>
        <v/>
      </c>
      <c r="R42" s="318" t="str">
        <f t="shared" si="2"/>
        <v>N</v>
      </c>
      <c r="S42" s="318" t="str">
        <f t="shared" si="3"/>
        <v>N</v>
      </c>
      <c r="T42" s="318" t="str">
        <f t="shared" si="4"/>
        <v>N</v>
      </c>
      <c r="U42" s="319"/>
      <c r="V42" s="251"/>
      <c r="W42" s="18"/>
    </row>
    <row r="43" spans="1:23" ht="16" x14ac:dyDescent="0.2">
      <c r="A43" s="37">
        <v>32</v>
      </c>
      <c r="B43" s="90"/>
      <c r="C43" s="154"/>
      <c r="D43" s="313" t="str">
        <f>IF(C43="","",VLOOKUP(C43,'Formulation Pre-Products'!$B$13:$E$61,4,FALSE))</f>
        <v/>
      </c>
      <c r="E43" s="102"/>
      <c r="F43" s="153">
        <f t="shared" si="1"/>
        <v>0</v>
      </c>
      <c r="G43" s="102"/>
      <c r="H43" s="90"/>
      <c r="I43" s="153" t="str">
        <f t="shared" si="5"/>
        <v/>
      </c>
      <c r="J43" s="107"/>
      <c r="K43" s="90"/>
      <c r="L43" s="88"/>
      <c r="M43" s="87"/>
      <c r="N43" s="94"/>
      <c r="O43" s="102"/>
      <c r="P43" s="102"/>
      <c r="Q43" s="318" t="str">
        <f>IF(B43="","",IF(OR(H43=Languages!$A$69,H43=Languages!$B$69),"Y","N"))</f>
        <v/>
      </c>
      <c r="R43" s="318" t="str">
        <f t="shared" si="2"/>
        <v>N</v>
      </c>
      <c r="S43" s="318" t="str">
        <f t="shared" si="3"/>
        <v>N</v>
      </c>
      <c r="T43" s="318" t="str">
        <f t="shared" si="4"/>
        <v>N</v>
      </c>
      <c r="U43" s="319"/>
      <c r="V43" s="98"/>
      <c r="W43" s="18"/>
    </row>
    <row r="44" spans="1:23" ht="16" x14ac:dyDescent="0.2">
      <c r="A44" s="37">
        <v>33</v>
      </c>
      <c r="B44" s="90"/>
      <c r="C44" s="154"/>
      <c r="D44" s="313" t="str">
        <f>IF(C44="","",VLOOKUP(C44,'Formulation Pre-Products'!$B$13:$E$61,4,FALSE))</f>
        <v/>
      </c>
      <c r="E44" s="102"/>
      <c r="F44" s="153">
        <f t="shared" si="1"/>
        <v>0</v>
      </c>
      <c r="G44" s="102"/>
      <c r="H44" s="90"/>
      <c r="I44" s="153" t="str">
        <f t="shared" si="5"/>
        <v/>
      </c>
      <c r="J44" s="107"/>
      <c r="K44" s="90"/>
      <c r="L44" s="88"/>
      <c r="M44" s="87"/>
      <c r="N44" s="94"/>
      <c r="O44" s="102"/>
      <c r="P44" s="102"/>
      <c r="Q44" s="318" t="str">
        <f>IF(B44="","",IF(OR(H44=Languages!$A$69,H44=Languages!$B$69),"Y","N"))</f>
        <v/>
      </c>
      <c r="R44" s="318" t="str">
        <f t="shared" si="2"/>
        <v>N</v>
      </c>
      <c r="S44" s="318" t="str">
        <f t="shared" si="3"/>
        <v>N</v>
      </c>
      <c r="T44" s="318" t="str">
        <f t="shared" si="4"/>
        <v>N</v>
      </c>
      <c r="U44" s="319"/>
      <c r="V44" s="98"/>
      <c r="W44" s="18"/>
    </row>
    <row r="45" spans="1:23" ht="16" x14ac:dyDescent="0.2">
      <c r="A45" s="37">
        <v>34</v>
      </c>
      <c r="B45" s="90"/>
      <c r="C45" s="154"/>
      <c r="D45" s="313" t="str">
        <f>IF(C45="","",VLOOKUP(C45,'Formulation Pre-Products'!$B$13:$E$61,4,FALSE))</f>
        <v/>
      </c>
      <c r="E45" s="102"/>
      <c r="F45" s="153">
        <f t="shared" si="1"/>
        <v>0</v>
      </c>
      <c r="G45" s="102"/>
      <c r="H45" s="90"/>
      <c r="I45" s="153" t="str">
        <f t="shared" si="5"/>
        <v/>
      </c>
      <c r="J45" s="107"/>
      <c r="K45" s="90"/>
      <c r="L45" s="88"/>
      <c r="M45" s="87"/>
      <c r="N45" s="94"/>
      <c r="O45" s="102"/>
      <c r="P45" s="102"/>
      <c r="Q45" s="318" t="str">
        <f>IF(B45="","",IF(OR(H45=Languages!$A$69,H45=Languages!$B$69),"Y","N"))</f>
        <v/>
      </c>
      <c r="R45" s="318" t="str">
        <f t="shared" si="2"/>
        <v>N</v>
      </c>
      <c r="S45" s="318" t="str">
        <f t="shared" si="3"/>
        <v>N</v>
      </c>
      <c r="T45" s="318" t="str">
        <f t="shared" si="4"/>
        <v>N</v>
      </c>
      <c r="U45" s="319"/>
      <c r="V45" s="98"/>
      <c r="W45" s="18"/>
    </row>
    <row r="46" spans="1:23" ht="16" x14ac:dyDescent="0.2">
      <c r="A46" s="37">
        <v>35</v>
      </c>
      <c r="B46" s="90"/>
      <c r="C46" s="154"/>
      <c r="D46" s="313" t="str">
        <f>IF(C46="","",VLOOKUP(C46,'Formulation Pre-Products'!$B$13:$E$61,4,FALSE))</f>
        <v/>
      </c>
      <c r="E46" s="102"/>
      <c r="F46" s="153">
        <f t="shared" si="1"/>
        <v>0</v>
      </c>
      <c r="G46" s="102"/>
      <c r="H46" s="90"/>
      <c r="I46" s="153" t="str">
        <f t="shared" si="5"/>
        <v/>
      </c>
      <c r="J46" s="107"/>
      <c r="K46" s="90"/>
      <c r="L46" s="88"/>
      <c r="M46" s="87"/>
      <c r="N46" s="94"/>
      <c r="O46" s="102"/>
      <c r="P46" s="102"/>
      <c r="Q46" s="318" t="str">
        <f>IF(B46="","",IF(OR(H46=Languages!$A$69,H46=Languages!$B$69),"Y","N"))</f>
        <v/>
      </c>
      <c r="R46" s="318" t="str">
        <f t="shared" si="2"/>
        <v>N</v>
      </c>
      <c r="S46" s="318" t="str">
        <f t="shared" si="3"/>
        <v>N</v>
      </c>
      <c r="T46" s="318" t="str">
        <f t="shared" si="4"/>
        <v>N</v>
      </c>
      <c r="U46" s="319"/>
      <c r="V46" s="98"/>
      <c r="W46" s="18"/>
    </row>
    <row r="47" spans="1:23" ht="16" x14ac:dyDescent="0.2">
      <c r="A47" s="37">
        <v>36</v>
      </c>
      <c r="B47" s="90"/>
      <c r="C47" s="154"/>
      <c r="D47" s="313" t="str">
        <f>IF(C47="","",VLOOKUP(C47,'Formulation Pre-Products'!$B$13:$E$61,4,FALSE))</f>
        <v/>
      </c>
      <c r="E47" s="102"/>
      <c r="F47" s="153">
        <f t="shared" si="1"/>
        <v>0</v>
      </c>
      <c r="G47" s="102"/>
      <c r="H47" s="90"/>
      <c r="I47" s="153" t="str">
        <f t="shared" si="5"/>
        <v/>
      </c>
      <c r="J47" s="107"/>
      <c r="K47" s="90"/>
      <c r="L47" s="88"/>
      <c r="M47" s="87"/>
      <c r="N47" s="94"/>
      <c r="O47" s="102"/>
      <c r="P47" s="102"/>
      <c r="Q47" s="318" t="str">
        <f>IF(B47="","",IF(OR(H47=Languages!$A$69,H47=Languages!$B$69),"Y","N"))</f>
        <v/>
      </c>
      <c r="R47" s="318" t="str">
        <f t="shared" si="2"/>
        <v>N</v>
      </c>
      <c r="S47" s="318" t="str">
        <f t="shared" si="3"/>
        <v>N</v>
      </c>
      <c r="T47" s="318" t="str">
        <f t="shared" si="4"/>
        <v>N</v>
      </c>
      <c r="U47" s="319"/>
      <c r="V47" s="98"/>
      <c r="W47" s="18"/>
    </row>
    <row r="48" spans="1:23" ht="16" x14ac:dyDescent="0.2">
      <c r="A48" s="37">
        <v>37</v>
      </c>
      <c r="B48" s="90"/>
      <c r="C48" s="154"/>
      <c r="D48" s="313" t="str">
        <f>IF(C48="","",VLOOKUP(C48,'Formulation Pre-Products'!$B$13:$E$61,4,FALSE))</f>
        <v/>
      </c>
      <c r="E48" s="102"/>
      <c r="F48" s="153">
        <f t="shared" si="1"/>
        <v>0</v>
      </c>
      <c r="G48" s="102"/>
      <c r="H48" s="90"/>
      <c r="I48" s="153" t="str">
        <f t="shared" si="5"/>
        <v/>
      </c>
      <c r="J48" s="107"/>
      <c r="K48" s="90"/>
      <c r="L48" s="88"/>
      <c r="M48" s="87"/>
      <c r="N48" s="94"/>
      <c r="O48" s="102"/>
      <c r="P48" s="102"/>
      <c r="Q48" s="318" t="str">
        <f>IF(B48="","",IF(OR(H48=Languages!$A$69,H48=Languages!$B$69),"Y","N"))</f>
        <v/>
      </c>
      <c r="R48" s="318" t="str">
        <f t="shared" si="2"/>
        <v>N</v>
      </c>
      <c r="S48" s="318" t="str">
        <f t="shared" si="3"/>
        <v>N</v>
      </c>
      <c r="T48" s="318" t="str">
        <f t="shared" si="4"/>
        <v>N</v>
      </c>
      <c r="U48" s="319"/>
      <c r="V48" s="98"/>
      <c r="W48" s="18"/>
    </row>
    <row r="49" spans="1:23" ht="16" x14ac:dyDescent="0.2">
      <c r="A49" s="37">
        <v>38</v>
      </c>
      <c r="B49" s="90"/>
      <c r="C49" s="154"/>
      <c r="D49" s="313" t="str">
        <f>IF(C49="","",VLOOKUP(C49,'Formulation Pre-Products'!$B$13:$E$61,4,FALSE))</f>
        <v/>
      </c>
      <c r="E49" s="102"/>
      <c r="F49" s="153">
        <f t="shared" si="1"/>
        <v>0</v>
      </c>
      <c r="G49" s="102"/>
      <c r="H49" s="90"/>
      <c r="I49" s="153" t="str">
        <f t="shared" si="5"/>
        <v/>
      </c>
      <c r="J49" s="107"/>
      <c r="K49" s="90"/>
      <c r="L49" s="88"/>
      <c r="M49" s="87"/>
      <c r="N49" s="94"/>
      <c r="O49" s="102"/>
      <c r="P49" s="102"/>
      <c r="Q49" s="318" t="str">
        <f>IF(B49="","",IF(OR(H49=Languages!$A$69,H49=Languages!$B$69),"Y","N"))</f>
        <v/>
      </c>
      <c r="R49" s="318" t="str">
        <f t="shared" si="2"/>
        <v>N</v>
      </c>
      <c r="S49" s="318" t="str">
        <f t="shared" si="3"/>
        <v>N</v>
      </c>
      <c r="T49" s="318" t="str">
        <f t="shared" si="4"/>
        <v>N</v>
      </c>
      <c r="U49" s="319"/>
      <c r="V49" s="98"/>
      <c r="W49" s="18"/>
    </row>
    <row r="50" spans="1:23" ht="16" x14ac:dyDescent="0.2">
      <c r="A50" s="37">
        <v>39</v>
      </c>
      <c r="B50" s="90"/>
      <c r="C50" s="154"/>
      <c r="D50" s="313" t="str">
        <f>IF(C50="","",VLOOKUP(C50,'Formulation Pre-Products'!$B$13:$E$61,4,FALSE))</f>
        <v/>
      </c>
      <c r="E50" s="102"/>
      <c r="F50" s="153">
        <f t="shared" si="1"/>
        <v>0</v>
      </c>
      <c r="G50" s="102"/>
      <c r="H50" s="90"/>
      <c r="I50" s="153" t="str">
        <f t="shared" si="5"/>
        <v/>
      </c>
      <c r="J50" s="107"/>
      <c r="K50" s="90"/>
      <c r="L50" s="88"/>
      <c r="M50" s="87"/>
      <c r="N50" s="94"/>
      <c r="O50" s="102"/>
      <c r="P50" s="102"/>
      <c r="Q50" s="318" t="str">
        <f>IF(B50="","",IF(OR(H50=Languages!$A$69,H50=Languages!$B$69),"Y","N"))</f>
        <v/>
      </c>
      <c r="R50" s="318" t="str">
        <f t="shared" si="2"/>
        <v>N</v>
      </c>
      <c r="S50" s="318" t="str">
        <f t="shared" si="3"/>
        <v>N</v>
      </c>
      <c r="T50" s="318" t="str">
        <f t="shared" si="4"/>
        <v>N</v>
      </c>
      <c r="U50" s="319"/>
      <c r="V50" s="98"/>
      <c r="W50" s="18"/>
    </row>
    <row r="51" spans="1:23" ht="16" x14ac:dyDescent="0.2">
      <c r="A51" s="37">
        <v>40</v>
      </c>
      <c r="B51" s="90"/>
      <c r="C51" s="154"/>
      <c r="D51" s="313" t="str">
        <f>IF(C51="","",VLOOKUP(C51,'Formulation Pre-Products'!$B$13:$E$61,4,FALSE))</f>
        <v/>
      </c>
      <c r="E51" s="102"/>
      <c r="F51" s="153">
        <f t="shared" si="1"/>
        <v>0</v>
      </c>
      <c r="G51" s="102"/>
      <c r="H51" s="90"/>
      <c r="I51" s="153" t="str">
        <f t="shared" si="5"/>
        <v/>
      </c>
      <c r="J51" s="107"/>
      <c r="K51" s="90"/>
      <c r="L51" s="88"/>
      <c r="M51" s="87"/>
      <c r="N51" s="94"/>
      <c r="O51" s="102"/>
      <c r="P51" s="102"/>
      <c r="Q51" s="318" t="str">
        <f>IF(B51="","",IF(OR(H51=Languages!$A$69,H51=Languages!$B$69),"Y","N"))</f>
        <v/>
      </c>
      <c r="R51" s="318" t="str">
        <f t="shared" si="2"/>
        <v>N</v>
      </c>
      <c r="S51" s="318" t="str">
        <f t="shared" si="3"/>
        <v>N</v>
      </c>
      <c r="T51" s="318" t="str">
        <f t="shared" si="4"/>
        <v>N</v>
      </c>
      <c r="U51" s="319"/>
      <c r="V51" s="98"/>
      <c r="W51" s="18"/>
    </row>
    <row r="52" spans="1:23" ht="16" x14ac:dyDescent="0.2">
      <c r="A52" s="37">
        <v>41</v>
      </c>
      <c r="B52" s="90"/>
      <c r="C52" s="154"/>
      <c r="D52" s="313" t="str">
        <f>IF(C52="","",VLOOKUP(C52,'Formulation Pre-Products'!$B$13:$E$61,4,FALSE))</f>
        <v/>
      </c>
      <c r="E52" s="102"/>
      <c r="F52" s="153">
        <f t="shared" si="1"/>
        <v>0</v>
      </c>
      <c r="G52" s="102"/>
      <c r="H52" s="90"/>
      <c r="I52" s="153" t="str">
        <f t="shared" si="5"/>
        <v/>
      </c>
      <c r="J52" s="107"/>
      <c r="K52" s="90"/>
      <c r="L52" s="88"/>
      <c r="M52" s="87"/>
      <c r="N52" s="94"/>
      <c r="O52" s="102"/>
      <c r="P52" s="102"/>
      <c r="Q52" s="318" t="str">
        <f>IF(B52="","",IF(OR(H52=Languages!$A$69,H52=Languages!$B$69),"Y","N"))</f>
        <v/>
      </c>
      <c r="R52" s="318" t="str">
        <f t="shared" si="2"/>
        <v>N</v>
      </c>
      <c r="S52" s="318" t="str">
        <f t="shared" si="3"/>
        <v>N</v>
      </c>
      <c r="T52" s="318" t="str">
        <f t="shared" si="4"/>
        <v>N</v>
      </c>
      <c r="U52" s="319"/>
      <c r="V52" s="98"/>
      <c r="W52" s="18"/>
    </row>
    <row r="53" spans="1:23" ht="16" x14ac:dyDescent="0.2">
      <c r="A53" s="37">
        <v>42</v>
      </c>
      <c r="B53" s="90"/>
      <c r="C53" s="154"/>
      <c r="D53" s="313" t="str">
        <f>IF(C53="","",VLOOKUP(C53,'Formulation Pre-Products'!$B$13:$E$61,4,FALSE))</f>
        <v/>
      </c>
      <c r="E53" s="102"/>
      <c r="F53" s="153">
        <f t="shared" si="1"/>
        <v>0</v>
      </c>
      <c r="G53" s="102"/>
      <c r="H53" s="90"/>
      <c r="I53" s="153" t="str">
        <f t="shared" si="5"/>
        <v/>
      </c>
      <c r="J53" s="107"/>
      <c r="K53" s="90"/>
      <c r="L53" s="88"/>
      <c r="M53" s="87"/>
      <c r="N53" s="94"/>
      <c r="O53" s="102"/>
      <c r="P53" s="102"/>
      <c r="Q53" s="318" t="str">
        <f>IF(B53="","",IF(OR(H53=Languages!$A$69,H53=Languages!$B$69),"Y","N"))</f>
        <v/>
      </c>
      <c r="R53" s="318" t="str">
        <f t="shared" si="2"/>
        <v>N</v>
      </c>
      <c r="S53" s="318" t="str">
        <f t="shared" si="3"/>
        <v>N</v>
      </c>
      <c r="T53" s="318" t="str">
        <f t="shared" si="4"/>
        <v>N</v>
      </c>
      <c r="U53" s="319"/>
      <c r="V53" s="98"/>
      <c r="W53" s="18"/>
    </row>
    <row r="54" spans="1:23" ht="16" x14ac:dyDescent="0.2">
      <c r="A54" s="37">
        <v>43</v>
      </c>
      <c r="B54" s="90"/>
      <c r="C54" s="154"/>
      <c r="D54" s="313" t="str">
        <f>IF(C54="","",VLOOKUP(C54,'Formulation Pre-Products'!$B$13:$E$61,4,FALSE))</f>
        <v/>
      </c>
      <c r="E54" s="102"/>
      <c r="F54" s="153">
        <f t="shared" si="1"/>
        <v>0</v>
      </c>
      <c r="G54" s="102"/>
      <c r="H54" s="90"/>
      <c r="I54" s="153" t="str">
        <f t="shared" si="5"/>
        <v/>
      </c>
      <c r="J54" s="107"/>
      <c r="K54" s="90"/>
      <c r="L54" s="88"/>
      <c r="M54" s="87"/>
      <c r="N54" s="94"/>
      <c r="O54" s="102"/>
      <c r="P54" s="102"/>
      <c r="Q54" s="318" t="str">
        <f>IF(B54="","",IF(OR(H54=Languages!$A$69,H54=Languages!$B$69),"Y","N"))</f>
        <v/>
      </c>
      <c r="R54" s="318" t="str">
        <f t="shared" si="2"/>
        <v>N</v>
      </c>
      <c r="S54" s="318" t="str">
        <f t="shared" si="3"/>
        <v>N</v>
      </c>
      <c r="T54" s="318" t="str">
        <f t="shared" si="4"/>
        <v>N</v>
      </c>
      <c r="U54" s="319"/>
      <c r="V54" s="98"/>
      <c r="W54" s="18"/>
    </row>
    <row r="55" spans="1:23" ht="16" x14ac:dyDescent="0.2">
      <c r="A55" s="37">
        <v>44</v>
      </c>
      <c r="B55" s="90"/>
      <c r="C55" s="154"/>
      <c r="D55" s="313" t="str">
        <f>IF(C55="","",VLOOKUP(C55,'Formulation Pre-Products'!$B$13:$E$61,4,FALSE))</f>
        <v/>
      </c>
      <c r="E55" s="102"/>
      <c r="F55" s="153">
        <f t="shared" si="1"/>
        <v>0</v>
      </c>
      <c r="G55" s="102"/>
      <c r="H55" s="90"/>
      <c r="I55" s="153" t="str">
        <f t="shared" si="5"/>
        <v/>
      </c>
      <c r="J55" s="107"/>
      <c r="K55" s="90"/>
      <c r="L55" s="88"/>
      <c r="M55" s="87"/>
      <c r="N55" s="94"/>
      <c r="O55" s="102"/>
      <c r="P55" s="102"/>
      <c r="Q55" s="318" t="str">
        <f>IF(B55="","",IF(OR(H55=Languages!$A$69,H55=Languages!$B$69),"Y","N"))</f>
        <v/>
      </c>
      <c r="R55" s="318" t="str">
        <f t="shared" si="2"/>
        <v>N</v>
      </c>
      <c r="S55" s="318" t="str">
        <f t="shared" si="3"/>
        <v>N</v>
      </c>
      <c r="T55" s="318" t="str">
        <f t="shared" si="4"/>
        <v>N</v>
      </c>
      <c r="U55" s="319"/>
      <c r="V55" s="98"/>
      <c r="W55" s="18"/>
    </row>
    <row r="56" spans="1:23" ht="16" x14ac:dyDescent="0.2">
      <c r="A56" s="37">
        <v>45</v>
      </c>
      <c r="B56" s="90"/>
      <c r="C56" s="154"/>
      <c r="D56" s="313" t="str">
        <f>IF(C56="","",VLOOKUP(C56,'Formulation Pre-Products'!$B$13:$E$61,4,FALSE))</f>
        <v/>
      </c>
      <c r="E56" s="102"/>
      <c r="F56" s="153">
        <f t="shared" si="1"/>
        <v>0</v>
      </c>
      <c r="G56" s="102"/>
      <c r="H56" s="90"/>
      <c r="I56" s="153" t="str">
        <f t="shared" si="5"/>
        <v/>
      </c>
      <c r="J56" s="107"/>
      <c r="K56" s="90"/>
      <c r="L56" s="88"/>
      <c r="M56" s="87"/>
      <c r="N56" s="94"/>
      <c r="O56" s="102"/>
      <c r="P56" s="102"/>
      <c r="Q56" s="318" t="str">
        <f>IF(B56="","",IF(OR(H56=Languages!$A$69,H56=Languages!$B$69),"Y","N"))</f>
        <v/>
      </c>
      <c r="R56" s="318" t="str">
        <f t="shared" si="2"/>
        <v>N</v>
      </c>
      <c r="S56" s="318" t="str">
        <f t="shared" si="3"/>
        <v>N</v>
      </c>
      <c r="T56" s="318" t="str">
        <f t="shared" si="4"/>
        <v>N</v>
      </c>
      <c r="U56" s="319"/>
      <c r="V56" s="98"/>
      <c r="W56" s="18"/>
    </row>
    <row r="57" spans="1:23" ht="16" x14ac:dyDescent="0.2">
      <c r="A57" s="37">
        <v>46</v>
      </c>
      <c r="B57" s="90"/>
      <c r="C57" s="154"/>
      <c r="D57" s="313" t="str">
        <f>IF(C57="","",VLOOKUP(C57,'Formulation Pre-Products'!$B$13:$E$61,4,FALSE))</f>
        <v/>
      </c>
      <c r="E57" s="102"/>
      <c r="F57" s="153">
        <f t="shared" si="1"/>
        <v>0</v>
      </c>
      <c r="G57" s="102"/>
      <c r="H57" s="90"/>
      <c r="I57" s="153" t="str">
        <f t="shared" si="5"/>
        <v/>
      </c>
      <c r="J57" s="107"/>
      <c r="K57" s="90"/>
      <c r="L57" s="88"/>
      <c r="M57" s="87"/>
      <c r="N57" s="94"/>
      <c r="O57" s="102"/>
      <c r="P57" s="102"/>
      <c r="Q57" s="318" t="str">
        <f>IF(B57="","",IF(OR(H57=Languages!$A$69,H57=Languages!$B$69),"Y","N"))</f>
        <v/>
      </c>
      <c r="R57" s="318" t="str">
        <f t="shared" si="2"/>
        <v>N</v>
      </c>
      <c r="S57" s="318" t="str">
        <f t="shared" si="3"/>
        <v>N</v>
      </c>
      <c r="T57" s="318" t="str">
        <f t="shared" si="4"/>
        <v>N</v>
      </c>
      <c r="U57" s="319"/>
      <c r="V57" s="98"/>
      <c r="W57" s="18"/>
    </row>
    <row r="58" spans="1:23" ht="16" x14ac:dyDescent="0.2">
      <c r="A58" s="37">
        <v>47</v>
      </c>
      <c r="B58" s="90"/>
      <c r="C58" s="154"/>
      <c r="D58" s="313" t="str">
        <f>IF(C58="","",VLOOKUP(C58,'Formulation Pre-Products'!$B$13:$E$61,4,FALSE))</f>
        <v/>
      </c>
      <c r="E58" s="102"/>
      <c r="F58" s="153">
        <f t="shared" si="1"/>
        <v>0</v>
      </c>
      <c r="G58" s="102"/>
      <c r="H58" s="90"/>
      <c r="I58" s="153" t="str">
        <f t="shared" si="5"/>
        <v/>
      </c>
      <c r="J58" s="107"/>
      <c r="K58" s="90"/>
      <c r="L58" s="88"/>
      <c r="M58" s="87"/>
      <c r="N58" s="94"/>
      <c r="O58" s="102"/>
      <c r="P58" s="102"/>
      <c r="Q58" s="318" t="str">
        <f>IF(B58="","",IF(OR(H58=Languages!$A$69,H58=Languages!$B$69),"Y","N"))</f>
        <v/>
      </c>
      <c r="R58" s="318" t="str">
        <f t="shared" si="2"/>
        <v>N</v>
      </c>
      <c r="S58" s="318" t="str">
        <f t="shared" si="3"/>
        <v>N</v>
      </c>
      <c r="T58" s="318" t="str">
        <f t="shared" si="4"/>
        <v>N</v>
      </c>
      <c r="U58" s="319"/>
      <c r="V58" s="98"/>
      <c r="W58" s="18"/>
    </row>
    <row r="59" spans="1:23" ht="16" x14ac:dyDescent="0.2">
      <c r="A59" s="37">
        <v>48</v>
      </c>
      <c r="B59" s="90"/>
      <c r="C59" s="154"/>
      <c r="D59" s="313" t="str">
        <f>IF(C59="","",VLOOKUP(C59,'Formulation Pre-Products'!$B$13:$E$61,4,FALSE))</f>
        <v/>
      </c>
      <c r="E59" s="102"/>
      <c r="F59" s="153">
        <f t="shared" si="1"/>
        <v>0</v>
      </c>
      <c r="G59" s="102"/>
      <c r="H59" s="90"/>
      <c r="I59" s="153" t="str">
        <f t="shared" si="5"/>
        <v/>
      </c>
      <c r="J59" s="107"/>
      <c r="K59" s="90"/>
      <c r="L59" s="88"/>
      <c r="M59" s="87"/>
      <c r="N59" s="94"/>
      <c r="O59" s="102"/>
      <c r="P59" s="102"/>
      <c r="Q59" s="318" t="str">
        <f>IF(B59="","",IF(OR(H59=Languages!$A$69,H59=Languages!$B$69),"Y","N"))</f>
        <v/>
      </c>
      <c r="R59" s="318" t="str">
        <f t="shared" si="2"/>
        <v>N</v>
      </c>
      <c r="S59" s="318" t="str">
        <f t="shared" si="3"/>
        <v>N</v>
      </c>
      <c r="T59" s="318" t="str">
        <f t="shared" si="4"/>
        <v>N</v>
      </c>
      <c r="U59" s="319"/>
      <c r="V59" s="98"/>
      <c r="W59" s="18"/>
    </row>
    <row r="60" spans="1:23" ht="16" x14ac:dyDescent="0.2">
      <c r="A60" s="37">
        <v>49</v>
      </c>
      <c r="B60" s="90"/>
      <c r="C60" s="154"/>
      <c r="D60" s="313" t="str">
        <f>IF(C60="","",VLOOKUP(C60,'Formulation Pre-Products'!$B$13:$E$61,4,FALSE))</f>
        <v/>
      </c>
      <c r="E60" s="102"/>
      <c r="F60" s="153">
        <f t="shared" si="1"/>
        <v>0</v>
      </c>
      <c r="G60" s="102"/>
      <c r="H60" s="90"/>
      <c r="I60" s="153" t="str">
        <f t="shared" si="5"/>
        <v/>
      </c>
      <c r="J60" s="107"/>
      <c r="K60" s="90"/>
      <c r="L60" s="88"/>
      <c r="M60" s="87"/>
      <c r="N60" s="94"/>
      <c r="O60" s="102"/>
      <c r="P60" s="102"/>
      <c r="Q60" s="318" t="str">
        <f>IF(B60="","",IF(OR(H60=Languages!$A$69,H60=Languages!$B$69),"Y","N"))</f>
        <v/>
      </c>
      <c r="R60" s="318" t="str">
        <f t="shared" si="2"/>
        <v>N</v>
      </c>
      <c r="S60" s="318" t="str">
        <f t="shared" si="3"/>
        <v>N</v>
      </c>
      <c r="T60" s="318" t="str">
        <f t="shared" si="4"/>
        <v>N</v>
      </c>
      <c r="U60" s="319"/>
      <c r="V60" s="98"/>
      <c r="W60" s="18"/>
    </row>
    <row r="61" spans="1:23" ht="16" x14ac:dyDescent="0.2">
      <c r="A61" s="37">
        <v>50</v>
      </c>
      <c r="B61" s="90"/>
      <c r="C61" s="154"/>
      <c r="D61" s="313" t="str">
        <f>IF(C61="","",VLOOKUP(C61,'Formulation Pre-Products'!$B$13:$E$61,4,FALSE))</f>
        <v/>
      </c>
      <c r="E61" s="102"/>
      <c r="F61" s="153">
        <f t="shared" si="1"/>
        <v>0</v>
      </c>
      <c r="G61" s="102"/>
      <c r="H61" s="90"/>
      <c r="I61" s="102" t="str">
        <f t="shared" si="5"/>
        <v/>
      </c>
      <c r="J61" s="107"/>
      <c r="K61" s="90"/>
      <c r="L61" s="88"/>
      <c r="M61" s="87"/>
      <c r="N61" s="94"/>
      <c r="O61" s="102"/>
      <c r="P61" s="102"/>
      <c r="Q61" s="318" t="str">
        <f>IF(B61="","",IF(OR(H61=Languages!$A$69,H61=Languages!$B$69),"Y","N"))</f>
        <v/>
      </c>
      <c r="R61" s="318" t="str">
        <f t="shared" si="2"/>
        <v>N</v>
      </c>
      <c r="S61" s="318" t="str">
        <f t="shared" si="3"/>
        <v>N</v>
      </c>
      <c r="T61" s="318" t="str">
        <f t="shared" si="4"/>
        <v>N</v>
      </c>
      <c r="U61" s="319"/>
      <c r="V61" s="98"/>
      <c r="W61" s="18"/>
    </row>
    <row r="62" spans="1:23" ht="17" thickBot="1" x14ac:dyDescent="0.25">
      <c r="A62" s="40"/>
      <c r="B62" s="112" t="str">
        <f>'Formulation Pre-Products'!B62</f>
        <v>Sum:</v>
      </c>
      <c r="C62" s="41"/>
      <c r="D62" s="41"/>
      <c r="E62" s="41"/>
      <c r="F62" s="41"/>
      <c r="G62" s="40"/>
      <c r="H62" s="74"/>
      <c r="I62" s="33">
        <f>SUM(I12:I61)</f>
        <v>0</v>
      </c>
      <c r="J62" s="44"/>
      <c r="K62" s="44"/>
      <c r="L62" s="44"/>
      <c r="M62" s="44"/>
      <c r="N62" s="44"/>
      <c r="O62" s="204"/>
      <c r="P62" s="204"/>
      <c r="Q62" s="204"/>
      <c r="R62" s="204"/>
      <c r="S62" s="204"/>
      <c r="T62" s="204"/>
      <c r="U62" s="204"/>
      <c r="V62" s="98"/>
      <c r="W62" s="18"/>
    </row>
    <row r="63" spans="1:23" ht="17" thickTop="1" x14ac:dyDescent="0.2">
      <c r="A63" s="23"/>
      <c r="B63" s="20"/>
      <c r="C63" s="46"/>
      <c r="D63" s="46"/>
      <c r="E63" s="46"/>
      <c r="F63" s="46"/>
      <c r="G63" s="23"/>
      <c r="H63" s="46"/>
      <c r="I63" s="22" t="str">
        <f>IF(Product!$C$2=Languages!A3,Languages!A25,Languages!B25)</f>
        <v>(must be 100)</v>
      </c>
      <c r="J63" s="48"/>
      <c r="K63" s="48"/>
      <c r="L63" s="48"/>
      <c r="M63" s="48"/>
      <c r="N63" s="48"/>
      <c r="O63" s="205"/>
      <c r="P63" s="205"/>
      <c r="Q63" s="205"/>
      <c r="R63" s="205"/>
      <c r="S63" s="205"/>
      <c r="T63" s="205"/>
      <c r="U63" s="205"/>
      <c r="V63" s="98"/>
      <c r="W63" s="18"/>
    </row>
    <row r="64" spans="1:23" ht="16" x14ac:dyDescent="0.2">
      <c r="A64" s="23"/>
      <c r="B64" s="46"/>
      <c r="C64" s="23"/>
      <c r="D64" s="23"/>
      <c r="E64" s="23"/>
      <c r="F64" s="23"/>
      <c r="G64" s="46"/>
      <c r="H64" s="46"/>
      <c r="I64" s="46"/>
      <c r="J64" s="46"/>
      <c r="K64" s="46"/>
      <c r="L64" s="49"/>
      <c r="M64" s="49"/>
      <c r="N64" s="49"/>
      <c r="O64" s="206"/>
      <c r="P64" s="206"/>
      <c r="Q64" s="206"/>
      <c r="R64" s="206"/>
      <c r="S64" s="206"/>
      <c r="T64" s="206"/>
      <c r="U64" s="206"/>
      <c r="V64" s="98"/>
      <c r="W64" s="18"/>
    </row>
    <row r="65" spans="1:23" ht="30" customHeight="1" x14ac:dyDescent="0.2">
      <c r="A65" s="23"/>
      <c r="B65" s="677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686"/>
      <c r="D65" s="686"/>
      <c r="E65" s="686"/>
      <c r="F65" s="686"/>
      <c r="G65" s="686"/>
      <c r="H65" s="686"/>
      <c r="I65" s="686"/>
      <c r="J65" s="686"/>
      <c r="K65" s="686"/>
      <c r="L65" s="686"/>
      <c r="M65" s="48"/>
      <c r="N65" s="48"/>
      <c r="O65" s="205"/>
      <c r="P65" s="205"/>
      <c r="Q65" s="205"/>
      <c r="R65" s="205"/>
      <c r="S65" s="205"/>
      <c r="T65" s="205"/>
      <c r="U65" s="205"/>
      <c r="V65" s="98"/>
      <c r="W65" s="18"/>
    </row>
    <row r="66" spans="1:23" ht="16" x14ac:dyDescent="0.2">
      <c r="A66" s="23"/>
      <c r="B66" s="50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51"/>
      <c r="D66" s="51"/>
      <c r="E66" s="51"/>
      <c r="F66" s="51"/>
      <c r="G66" s="50"/>
      <c r="H66" s="50"/>
      <c r="I66" s="50"/>
      <c r="J66" s="50"/>
      <c r="K66" s="50"/>
      <c r="L66" s="52"/>
      <c r="M66" s="48"/>
      <c r="N66" s="48"/>
      <c r="O66" s="205"/>
      <c r="P66" s="205"/>
      <c r="Q66" s="205"/>
      <c r="R66" s="205"/>
      <c r="S66" s="205"/>
      <c r="T66" s="205"/>
      <c r="U66" s="205"/>
      <c r="V66" s="98"/>
      <c r="W66" s="18"/>
    </row>
    <row r="67" spans="1:23" ht="16" x14ac:dyDescent="0.2">
      <c r="A67" s="23"/>
      <c r="B67" s="46"/>
      <c r="C67" s="23"/>
      <c r="D67" s="23"/>
      <c r="E67" s="23"/>
      <c r="F67" s="23"/>
      <c r="G67" s="46"/>
      <c r="H67" s="46"/>
      <c r="I67" s="46"/>
      <c r="J67" s="46"/>
      <c r="K67" s="46"/>
      <c r="L67" s="49"/>
      <c r="M67" s="48"/>
      <c r="N67" s="48"/>
      <c r="O67" s="205"/>
      <c r="P67" s="205"/>
      <c r="Q67" s="205"/>
      <c r="R67" s="205"/>
      <c r="S67" s="205"/>
      <c r="T67" s="205"/>
      <c r="U67" s="205"/>
      <c r="V67" s="98"/>
      <c r="W67" s="18"/>
    </row>
    <row r="68" spans="1:23" ht="46.5" customHeight="1" x14ac:dyDescent="0.2">
      <c r="A68" s="16"/>
      <c r="B68" s="687" t="str">
        <f>'Formulation Pre-Products'!B67:H67</f>
        <v>remarks of the applicant</v>
      </c>
      <c r="C68" s="692"/>
      <c r="D68" s="693"/>
      <c r="E68" s="694"/>
      <c r="F68" s="693"/>
      <c r="G68" s="687"/>
      <c r="H68" s="693"/>
      <c r="I68" s="693"/>
      <c r="J68" s="693"/>
      <c r="K68" s="693"/>
      <c r="L68" s="693"/>
      <c r="M68" s="693"/>
      <c r="N68" s="693"/>
      <c r="O68" s="693"/>
      <c r="P68" s="692"/>
      <c r="Q68" s="693"/>
      <c r="R68" s="693"/>
      <c r="S68" s="693"/>
      <c r="T68" s="693"/>
      <c r="U68" s="692"/>
      <c r="V68" s="98"/>
      <c r="W68" s="18"/>
    </row>
    <row r="69" spans="1:23" ht="16" x14ac:dyDescent="0.2">
      <c r="A69" s="23"/>
      <c r="B69" s="46"/>
      <c r="C69" s="23"/>
      <c r="D69" s="23"/>
      <c r="E69" s="23"/>
      <c r="F69" s="23"/>
      <c r="G69" s="46"/>
      <c r="H69" s="46"/>
      <c r="I69" s="46"/>
      <c r="J69" s="46"/>
      <c r="K69" s="46"/>
      <c r="L69" s="49"/>
      <c r="M69" s="48"/>
      <c r="N69" s="48"/>
      <c r="O69" s="205"/>
      <c r="P69" s="205"/>
      <c r="Q69" s="205"/>
      <c r="R69" s="205"/>
      <c r="S69" s="205"/>
      <c r="T69" s="205"/>
      <c r="U69" s="205"/>
      <c r="V69" s="98"/>
      <c r="W69" s="18"/>
    </row>
    <row r="70" spans="1:23" ht="16" x14ac:dyDescent="0.2">
      <c r="A70" s="53"/>
      <c r="B70" s="54"/>
      <c r="C70" s="53"/>
      <c r="D70" s="53"/>
      <c r="E70" s="53"/>
      <c r="F70" s="53"/>
      <c r="G70" s="54"/>
      <c r="H70" s="54"/>
      <c r="I70" s="54"/>
      <c r="J70" s="54"/>
      <c r="K70" s="54"/>
      <c r="L70" s="55"/>
      <c r="M70" s="48"/>
      <c r="N70" s="48"/>
      <c r="O70" s="205"/>
      <c r="P70" s="205"/>
      <c r="Q70" s="205"/>
      <c r="R70" s="205"/>
      <c r="S70" s="205"/>
      <c r="T70" s="205"/>
      <c r="U70" s="205"/>
      <c r="V70" s="98"/>
      <c r="W70" s="18"/>
    </row>
    <row r="71" spans="1:23" ht="16" x14ac:dyDescent="0.2">
      <c r="A71" s="53"/>
      <c r="B71" s="54"/>
      <c r="C71" s="53"/>
      <c r="D71" s="53"/>
      <c r="E71" s="53"/>
      <c r="F71" s="53"/>
      <c r="G71" s="54"/>
      <c r="H71" s="54"/>
      <c r="I71" s="54"/>
      <c r="J71" s="54"/>
      <c r="K71" s="54"/>
      <c r="L71" s="55"/>
      <c r="M71" s="55"/>
      <c r="N71" s="55"/>
      <c r="O71" s="207"/>
      <c r="P71" s="207"/>
      <c r="Q71" s="207"/>
      <c r="R71" s="207"/>
      <c r="S71" s="207"/>
      <c r="T71" s="207"/>
      <c r="U71" s="207"/>
      <c r="V71" s="98"/>
      <c r="W71" s="18"/>
    </row>
    <row r="72" spans="1:23" ht="16" x14ac:dyDescent="0.2">
      <c r="A72" s="53"/>
      <c r="B72" s="54"/>
      <c r="C72" s="53"/>
      <c r="D72" s="53"/>
      <c r="E72" s="53"/>
      <c r="F72" s="53"/>
      <c r="G72" s="54"/>
      <c r="H72" s="54"/>
      <c r="I72" s="54"/>
      <c r="J72" s="54"/>
      <c r="K72" s="54"/>
      <c r="L72" s="55"/>
      <c r="M72" s="55"/>
      <c r="N72" s="55"/>
      <c r="O72" s="207"/>
      <c r="P72" s="207"/>
      <c r="Q72" s="207"/>
      <c r="R72" s="207"/>
      <c r="S72" s="207"/>
      <c r="T72" s="207"/>
      <c r="U72" s="207"/>
      <c r="V72" s="98"/>
      <c r="W72" s="18"/>
    </row>
    <row r="73" spans="1:23" ht="16" x14ac:dyDescent="0.2">
      <c r="A73" s="53"/>
      <c r="B73" s="54"/>
      <c r="C73" s="53"/>
      <c r="D73" s="53"/>
      <c r="E73" s="53"/>
      <c r="F73" s="53"/>
      <c r="G73" s="54"/>
      <c r="H73" s="54"/>
      <c r="I73" s="54"/>
      <c r="J73" s="54"/>
      <c r="K73" s="54"/>
      <c r="L73" s="55"/>
      <c r="M73" s="55"/>
      <c r="N73" s="55"/>
      <c r="O73" s="207"/>
      <c r="P73" s="207"/>
      <c r="Q73" s="207"/>
      <c r="R73" s="207"/>
      <c r="S73" s="207"/>
      <c r="T73" s="207"/>
      <c r="U73" s="207"/>
      <c r="V73" s="98"/>
      <c r="W73" s="18"/>
    </row>
    <row r="74" spans="1:23" ht="16" x14ac:dyDescent="0.2">
      <c r="A74" s="53"/>
      <c r="B74" s="54"/>
      <c r="C74" s="53"/>
      <c r="D74" s="53"/>
      <c r="E74" s="53"/>
      <c r="F74" s="53"/>
      <c r="G74" s="54"/>
      <c r="H74" s="54"/>
      <c r="I74" s="54"/>
      <c r="J74" s="54"/>
      <c r="K74" s="54"/>
      <c r="L74" s="55"/>
      <c r="M74" s="55"/>
      <c r="N74" s="55"/>
      <c r="O74" s="207"/>
      <c r="P74" s="207"/>
      <c r="Q74" s="207"/>
      <c r="R74" s="207"/>
      <c r="S74" s="207"/>
      <c r="T74" s="207"/>
      <c r="U74" s="207"/>
      <c r="V74" s="98"/>
      <c r="W74" s="18"/>
    </row>
    <row r="75" spans="1:23" ht="16" x14ac:dyDescent="0.2">
      <c r="A75" s="53"/>
      <c r="B75" s="54"/>
      <c r="C75" s="53"/>
      <c r="D75" s="53"/>
      <c r="E75" s="53"/>
      <c r="F75" s="53"/>
      <c r="G75" s="54"/>
      <c r="H75" s="54"/>
      <c r="I75" s="54"/>
      <c r="J75" s="54"/>
      <c r="K75" s="54"/>
      <c r="L75" s="55"/>
      <c r="M75" s="55"/>
      <c r="N75" s="55"/>
      <c r="O75" s="207"/>
      <c r="P75" s="207"/>
      <c r="Q75" s="207"/>
      <c r="R75" s="207"/>
      <c r="S75" s="207"/>
      <c r="T75" s="207"/>
      <c r="U75" s="207"/>
      <c r="V75" s="98"/>
      <c r="W75" s="18"/>
    </row>
    <row r="76" spans="1:23" ht="16" x14ac:dyDescent="0.2">
      <c r="A76" s="53"/>
      <c r="B76" s="54"/>
      <c r="C76" s="53"/>
      <c r="D76" s="53"/>
      <c r="E76" s="53"/>
      <c r="F76" s="53"/>
      <c r="G76" s="54"/>
      <c r="H76" s="54"/>
      <c r="I76" s="54"/>
      <c r="J76" s="54"/>
      <c r="K76" s="54"/>
      <c r="L76" s="55"/>
      <c r="M76" s="55"/>
      <c r="N76" s="55"/>
      <c r="O76" s="207"/>
      <c r="P76" s="207"/>
      <c r="Q76" s="207"/>
      <c r="R76" s="207"/>
      <c r="S76" s="207"/>
      <c r="T76" s="207"/>
      <c r="U76" s="207"/>
      <c r="V76" s="98"/>
      <c r="W76" s="18"/>
    </row>
    <row r="77" spans="1:23" ht="16" x14ac:dyDescent="0.2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208"/>
      <c r="P77" s="208"/>
      <c r="Q77" s="208"/>
      <c r="R77" s="208"/>
      <c r="S77" s="208"/>
      <c r="T77" s="208"/>
      <c r="U77" s="208"/>
      <c r="V77" s="98"/>
      <c r="W77" s="18"/>
    </row>
    <row r="78" spans="1:23" ht="16" x14ac:dyDescent="0.2">
      <c r="V78" s="98"/>
      <c r="W78" s="18"/>
    </row>
  </sheetData>
  <sheetProtection algorithmName="SHA-512" hashValue="80rlc45qmZ+mYCz8OHgcpTVRKH7AoXmRS/F7a/rT3sXR8GjNoGF0Mkp8sJyWAhM/egz+BzuJMvcwHOoMfmNAxA==" saltValue="aP1qAjOAl9Yz00WnB1mmDQ==" spinCount="100000" sheet="1" objects="1" scenarios="1" formatCells="0" formatColumns="0" formatRows="0" selectLockedCells="1" autoFilter="0"/>
  <autoFilter ref="B10:B63" xr:uid="{00000000-0009-0000-0000-000002000000}"/>
  <mergeCells count="16">
    <mergeCell ref="B68:U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I13:I61">
    <cfRule type="expression" dxfId="232" priority="27">
      <formula>I13&gt;=0.01</formula>
    </cfRule>
  </conditionalFormatting>
  <conditionalFormatting sqref="I13:I61">
    <cfRule type="expression" dxfId="231" priority="19">
      <formula>I13=""</formula>
    </cfRule>
    <cfRule type="expression" dxfId="230" priority="26">
      <formula>I13&gt;=0.01</formula>
    </cfRule>
  </conditionalFormatting>
  <conditionalFormatting sqref="J13:K61">
    <cfRule type="expression" dxfId="229" priority="25">
      <formula>$I13&gt;=0.01</formula>
    </cfRule>
  </conditionalFormatting>
  <conditionalFormatting sqref="J13:K61">
    <cfRule type="expression" dxfId="228" priority="24">
      <formula>OR(J13="300",J13=301,J13=304,J13=310)</formula>
    </cfRule>
  </conditionalFormatting>
  <conditionalFormatting sqref="J13:K61">
    <cfRule type="expression" dxfId="227" priority="18">
      <formula>I13=""</formula>
    </cfRule>
    <cfRule type="expression" dxfId="226" priority="22">
      <formula>SUMPRODUCT(ISNUMBER(FIND($V$13:$V$38,J13))*1)&gt;0</formula>
    </cfRule>
  </conditionalFormatting>
  <conditionalFormatting sqref="I62">
    <cfRule type="expression" dxfId="225" priority="21">
      <formula>I62&lt;&gt;100</formula>
    </cfRule>
  </conditionalFormatting>
  <conditionalFormatting sqref="H13:H61 E13:F13 C13:D14 J13:N61 U13:U61 E14:E17 C15:E61">
    <cfRule type="expression" dxfId="224" priority="16">
      <formula>$B13=""</formula>
    </cfRule>
  </conditionalFormatting>
  <conditionalFormatting sqref="Q13:Q61">
    <cfRule type="expression" dxfId="223" priority="60">
      <formula>A13=""</formula>
    </cfRule>
  </conditionalFormatting>
  <conditionalFormatting sqref="R13:R61">
    <cfRule type="expression" dxfId="222" priority="11">
      <formula>B13=""</formula>
    </cfRule>
  </conditionalFormatting>
  <conditionalFormatting sqref="S13:S61">
    <cfRule type="expression" dxfId="221" priority="10">
      <formula>C13=""</formula>
    </cfRule>
  </conditionalFormatting>
  <conditionalFormatting sqref="T13:T61">
    <cfRule type="expression" dxfId="220" priority="9">
      <formula>D13=""</formula>
    </cfRule>
  </conditionalFormatting>
  <conditionalFormatting sqref="G13:G61">
    <cfRule type="expression" dxfId="219" priority="8">
      <formula>$B13=""</formula>
    </cfRule>
  </conditionalFormatting>
  <conditionalFormatting sqref="O13:P61">
    <cfRule type="expression" dxfId="218" priority="7">
      <formula>$B13=""</formula>
    </cfRule>
  </conditionalFormatting>
  <conditionalFormatting sqref="M13:M61">
    <cfRule type="expression" dxfId="217" priority="1">
      <formula>AND($L13="log Kow",$M13&gt;=3)</formula>
    </cfRule>
    <cfRule type="expression" dxfId="216" priority="2">
      <formula>AND($L13="BCF",$M13&gt;=100)</formula>
    </cfRule>
  </conditionalFormatting>
  <dataValidations count="11">
    <dataValidation type="list" allowBlank="1" showInputMessage="1" showErrorMessage="1" error="please select" sqref="H13:H61" xr:uid="{00000000-0002-0000-0200-000000000000}">
      <formula1>Funktion</formula1>
    </dataValidation>
    <dataValidation type="list" allowBlank="1" showInputMessage="1" showErrorMessage="1" sqref="L13:L61" xr:uid="{00000000-0002-0000-0200-000001000000}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 xr:uid="{00000000-0002-0000-0200-000002000000}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 xr:uid="{00000000-0002-0000-0200-000003000000}"/>
    <dataValidation type="decimal" allowBlank="1" showInputMessage="1" showErrorMessage="1" prompt="Fill-in value between 0 and 100 (%)" sqref="U13:U61" xr:uid="{00000000-0002-0000-0200-000004000000}">
      <formula1>0</formula1>
      <formula2>100</formula2>
    </dataValidation>
    <dataValidation type="list" allowBlank="1" showInputMessage="1" showErrorMessage="1" error="Bitte auswählen!" sqref="O13:P61" xr:uid="{00000000-0002-0000-0200-000005000000}">
      <formula1>janein</formula1>
    </dataValidation>
    <dataValidation type="list" allowBlank="1" showInputMessage="1" showErrorMessage="1" sqref="N13:N61" xr:uid="{00000000-0002-0000-0200-000006000000}">
      <formula1>Form_Substanz</formula1>
    </dataValidation>
    <dataValidation type="list" allowBlank="1" showInputMessage="1" showErrorMessage="1" sqref="K13:K61" xr:uid="{00000000-0002-0000-0200-000007000000}">
      <formula1>Ausnahme</formula1>
    </dataValidation>
    <dataValidation type="list" allowBlank="1" showInputMessage="1" showErrorMessage="1" sqref="C13:C61" xr:uid="{00000000-0002-0000-0200-000008000000}">
      <formula1>VPName</formula1>
    </dataValidation>
    <dataValidation allowBlank="1" showInputMessage="1" showErrorMessage="1" errorTitle="Please select" sqref="K1" xr:uid="{00000000-0002-0000-0200-000009000000}"/>
    <dataValidation allowBlank="1" showInputMessage="1" showErrorMessage="1" error="Bitte auswählen!" sqref="Q13:T61" xr:uid="{00000000-0002-0000-0200-00000A000000}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17 I16:I17 F19:F27 I19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U84"/>
  <sheetViews>
    <sheetView zoomScale="97" zoomScaleNormal="97" workbookViewId="0">
      <selection activeCell="E13" sqref="E13"/>
    </sheetView>
  </sheetViews>
  <sheetFormatPr baseColWidth="10" defaultColWidth="11.5" defaultRowHeight="13" x14ac:dyDescent="0.15"/>
  <cols>
    <col min="1" max="1" width="4.1640625" style="1" customWidth="1"/>
    <col min="2" max="2" width="35.33203125" customWidth="1"/>
    <col min="3" max="3" width="10.5" style="1" bestFit="1" customWidth="1"/>
    <col min="4" max="4" width="15.83203125" customWidth="1"/>
    <col min="5" max="5" width="11" bestFit="1" customWidth="1"/>
    <col min="6" max="6" width="41.83203125" customWidth="1"/>
    <col min="7" max="7" width="17" bestFit="1" customWidth="1"/>
    <col min="8" max="8" width="10.5" bestFit="1" customWidth="1"/>
    <col min="9" max="9" width="9.33203125" customWidth="1"/>
    <col min="10" max="11" width="8.6640625" customWidth="1"/>
    <col min="12" max="12" width="10" style="111" customWidth="1"/>
    <col min="13" max="13" width="8.6640625" style="2" customWidth="1"/>
    <col min="14" max="14" width="9.33203125" style="2" customWidth="1"/>
    <col min="15" max="15" width="8.6640625" style="2" customWidth="1"/>
    <col min="16" max="17" width="9.83203125" customWidth="1"/>
    <col min="18" max="18" width="8.5" hidden="1" customWidth="1"/>
    <col min="20" max="20" width="11.5" hidden="1" customWidth="1"/>
  </cols>
  <sheetData>
    <row r="1" spans="1:21" ht="18.75" customHeight="1" x14ac:dyDescent="0.2">
      <c r="A1" s="16"/>
      <c r="B1" s="103"/>
      <c r="C1" s="17"/>
      <c r="D1" s="16"/>
      <c r="E1" s="18"/>
      <c r="F1" s="9"/>
      <c r="G1" s="665" t="str">
        <f>Product!G1</f>
        <v>COMMISSION DECISION</v>
      </c>
      <c r="H1" s="706"/>
      <c r="I1" s="706"/>
      <c r="J1" s="684">
        <f>Product!I1</f>
        <v>0</v>
      </c>
      <c r="K1" s="695"/>
      <c r="L1" s="695"/>
      <c r="M1" s="695"/>
      <c r="N1" s="695"/>
      <c r="O1" s="685"/>
      <c r="P1" s="56"/>
      <c r="Q1" s="56"/>
      <c r="R1" s="54"/>
      <c r="S1" s="54"/>
      <c r="T1" s="54"/>
      <c r="U1" s="54"/>
    </row>
    <row r="2" spans="1:21" x14ac:dyDescent="0.15">
      <c r="A2" s="23"/>
      <c r="B2" s="46"/>
      <c r="C2" s="46"/>
      <c r="D2" s="23"/>
      <c r="E2" s="46"/>
      <c r="F2" s="54"/>
      <c r="G2" s="108"/>
      <c r="H2" s="46"/>
      <c r="I2" s="46"/>
      <c r="J2" s="294" t="str">
        <f>Product!I2</f>
        <v>Template March 2020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1" x14ac:dyDescent="0.15">
      <c r="A3" s="670" t="str">
        <f>Product!A4</f>
        <v>Contract number:</v>
      </c>
      <c r="B3" s="671"/>
      <c r="C3" s="705">
        <f>Product!C4</f>
        <v>0</v>
      </c>
      <c r="D3" s="705"/>
      <c r="E3" s="705"/>
      <c r="F3" s="705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1" ht="16" x14ac:dyDescent="0.2">
      <c r="A4" s="670" t="str">
        <f>Product!A5</f>
        <v>Licence Holder:</v>
      </c>
      <c r="B4" s="671"/>
      <c r="C4" s="705">
        <f>Product!C5</f>
        <v>0</v>
      </c>
      <c r="D4" s="705"/>
      <c r="E4" s="705"/>
      <c r="F4" s="705"/>
      <c r="G4" s="19"/>
      <c r="H4" s="254" t="str">
        <f>Product!H4</f>
        <v>Date:</v>
      </c>
      <c r="I4" s="701">
        <f>Product!I4</f>
        <v>0</v>
      </c>
      <c r="J4" s="702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1" ht="16" x14ac:dyDescent="0.2">
      <c r="A5" s="670" t="str">
        <f>Product!A6</f>
        <v>Distributor / Product name (Country):</v>
      </c>
      <c r="B5" s="671"/>
      <c r="C5" s="705">
        <f>Product!C6</f>
        <v>0</v>
      </c>
      <c r="D5" s="705"/>
      <c r="E5" s="705"/>
      <c r="F5" s="705"/>
      <c r="G5" s="19"/>
      <c r="H5" s="254" t="str">
        <f>Product!H5</f>
        <v>Version:</v>
      </c>
      <c r="I5" s="703">
        <f>Product!I5</f>
        <v>0</v>
      </c>
      <c r="J5" s="704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1" ht="16" x14ac:dyDescent="0.2">
      <c r="A6" s="670" t="str">
        <f>Product!A22</f>
        <v>Type of product:</v>
      </c>
      <c r="B6" s="671"/>
      <c r="C6" s="705">
        <f>Product!C22</f>
        <v>0</v>
      </c>
      <c r="D6" s="705"/>
      <c r="E6" s="705"/>
      <c r="F6" s="705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1" ht="16" x14ac:dyDescent="0.2">
      <c r="A7" s="670" t="str">
        <f>Product!A24</f>
        <v>Form of product:</v>
      </c>
      <c r="B7" s="671"/>
      <c r="C7" s="705">
        <f>Product!C24</f>
        <v>0</v>
      </c>
      <c r="D7" s="705"/>
      <c r="E7" s="705"/>
      <c r="F7" s="705"/>
      <c r="G7" s="168"/>
      <c r="H7" s="168"/>
      <c r="I7" s="168"/>
      <c r="J7" s="54"/>
      <c r="K7" s="54"/>
      <c r="L7" s="139"/>
      <c r="M7" s="54"/>
      <c r="N7" s="54"/>
      <c r="O7" s="54"/>
      <c r="P7" s="54"/>
      <c r="Q7" s="54"/>
      <c r="R7" s="54"/>
      <c r="S7" s="18"/>
      <c r="T7" s="18"/>
      <c r="U7" s="18"/>
    </row>
    <row r="8" spans="1:21" ht="9.75" customHeight="1" x14ac:dyDescent="0.2">
      <c r="A8" s="169"/>
      <c r="B8" s="255"/>
      <c r="C8" s="255"/>
      <c r="D8" s="255"/>
      <c r="E8" s="255"/>
      <c r="F8" s="54"/>
      <c r="G8" s="255"/>
      <c r="H8" s="255"/>
      <c r="I8" s="255"/>
      <c r="J8" s="255"/>
      <c r="K8" s="255"/>
      <c r="L8" s="139"/>
      <c r="M8" s="255"/>
      <c r="N8" s="58"/>
      <c r="O8" s="49"/>
      <c r="P8" s="255"/>
      <c r="Q8" s="255"/>
      <c r="R8" s="54"/>
      <c r="S8" s="18"/>
      <c r="T8" s="18"/>
      <c r="U8" s="18"/>
    </row>
    <row r="9" spans="1:21" ht="9.75" customHeight="1" x14ac:dyDescent="0.2">
      <c r="A9" s="169"/>
      <c r="B9" s="255"/>
      <c r="C9" s="255"/>
      <c r="D9" s="255"/>
      <c r="E9" s="255"/>
      <c r="F9" s="54"/>
      <c r="G9" s="255"/>
      <c r="H9" s="255"/>
      <c r="I9" s="255"/>
      <c r="J9" s="255"/>
      <c r="K9" s="255"/>
      <c r="L9" s="139"/>
      <c r="M9" s="255"/>
      <c r="N9" s="58"/>
      <c r="O9" s="49"/>
      <c r="P9" s="255"/>
      <c r="Q9" s="255"/>
      <c r="R9" s="54"/>
      <c r="S9" s="18"/>
      <c r="T9" s="18"/>
      <c r="U9" s="18"/>
    </row>
    <row r="10" spans="1:21" ht="27" customHeight="1" x14ac:dyDescent="0.2">
      <c r="A10" s="35" t="str">
        <f>'Ingoing Substances'!A10</f>
        <v>cons.</v>
      </c>
      <c r="B10" s="201" t="str">
        <f>'Ingoing Substances'!B10</f>
        <v>Ingoing substance 3)</v>
      </c>
      <c r="C10" s="26" t="str">
        <f>'Ingoing Substances'!C10</f>
        <v>contained in primary product</v>
      </c>
      <c r="D10" s="35" t="s">
        <v>2</v>
      </c>
      <c r="E10" s="35" t="s">
        <v>179</v>
      </c>
      <c r="F10" s="101" t="s">
        <v>882</v>
      </c>
      <c r="G10" s="26" t="str">
        <f>'Ingoing Substances'!I10</f>
        <v>weight in the formulation in</v>
      </c>
      <c r="H10" s="710" t="str">
        <f>IF(Product!$C$2=Languages!A3,Languages!A35,Languages!B35)</f>
        <v>Fill-in only if substance not included in the DID-list</v>
      </c>
      <c r="I10" s="711">
        <f>IF(Product!$C$2="Deutsch",Languages!D10,Languages!E10)</f>
        <v>0</v>
      </c>
      <c r="J10" s="711">
        <f>IF(Product!$C$2="Deutsch",Languages!E10,Languages!F10)</f>
        <v>0</v>
      </c>
      <c r="K10" s="712">
        <f>IF(Product!$C$2="Deutsch",Languages!F10,Languages!G10)</f>
        <v>0</v>
      </c>
      <c r="L10" s="257" t="str">
        <f>IF(Product!$C$2=Languages!A3,Languages!A222,Languages!B222)</f>
        <v>exemption for anNBO</v>
      </c>
      <c r="M10" s="201" t="str">
        <f>H11</f>
        <v>DF</v>
      </c>
      <c r="N10" s="35" t="str">
        <f>I11</f>
        <v>TF chron.</v>
      </c>
      <c r="O10" s="713" t="str">
        <f>IF(Product!$C$2=Languages!A3,Languages!A40,Languages!B40)</f>
        <v>biodegradable</v>
      </c>
      <c r="P10" s="713">
        <f>IF(Product!$C$2="Deutsch",Languages!H35,Languages!I35)</f>
        <v>0</v>
      </c>
      <c r="Q10" s="201" t="str">
        <f>K11</f>
        <v>anaerobic</v>
      </c>
      <c r="R10" s="707" t="str">
        <f>IF(Product!$C$2=Languages!A3,Languages!A167,Languages!B167)</f>
        <v>Contains palm/palm kernel oil</v>
      </c>
      <c r="S10" s="18"/>
      <c r="T10" s="18"/>
      <c r="U10" s="18"/>
    </row>
    <row r="11" spans="1:21" ht="25" x14ac:dyDescent="0.2">
      <c r="A11" s="36" t="str">
        <f>'Ingoing Substances'!A11</f>
        <v>no:</v>
      </c>
      <c r="B11" s="59" t="str">
        <f>'Ingoing Substances'!B11</f>
        <v>Name (IUPAC)</v>
      </c>
      <c r="C11" s="28"/>
      <c r="D11" s="36" t="str">
        <f>'Ingoing Substances'!G11</f>
        <v>no:</v>
      </c>
      <c r="E11" s="36" t="str">
        <f>D11</f>
        <v>no:</v>
      </c>
      <c r="F11" s="129" t="s">
        <v>182</v>
      </c>
      <c r="G11" s="28" t="str">
        <f>'Ingoing Substances'!I11</f>
        <v>mass-% (=g/100g product)</v>
      </c>
      <c r="H11" s="28" t="str">
        <f>IF(Product!$C$2=Languages!A3,Languages!A36,Languages!B36)</f>
        <v>DF</v>
      </c>
      <c r="I11" s="28" t="str">
        <f>IF(Product!$C$2=Languages!A3,Languages!A37,Languages!B37)</f>
        <v>TF chron.</v>
      </c>
      <c r="J11" s="28" t="str">
        <f>IF(Product!$C$2=Languages!A3,Languages!A38,Languages!B38)</f>
        <v>aerobic</v>
      </c>
      <c r="K11" s="28" t="str">
        <f>IF(Product!$C$2=Languages!A3,Languages!A39,Languages!B39)</f>
        <v>anaerobic</v>
      </c>
      <c r="L11" s="28" t="str">
        <f>IF(Product!$C$2=Languages!A3,Languages!A58,Languages!B58)</f>
        <v>(please choose)</v>
      </c>
      <c r="M11" s="59"/>
      <c r="N11" s="36" t="s">
        <v>13</v>
      </c>
      <c r="O11" s="228" t="str">
        <f>J11</f>
        <v>aerobic</v>
      </c>
      <c r="P11" s="229" t="str">
        <f>K11</f>
        <v>anaerobic</v>
      </c>
      <c r="Q11" s="149" t="str">
        <f>L10</f>
        <v>exemption for anNBO</v>
      </c>
      <c r="R11" s="708"/>
      <c r="S11" s="18"/>
      <c r="T11" s="18"/>
      <c r="U11" s="18"/>
    </row>
    <row r="12" spans="1:21" ht="16" x14ac:dyDescent="0.2">
      <c r="A12" s="75">
        <v>1</v>
      </c>
      <c r="B12" s="30" t="str">
        <f>'Formulation Pre-Products'!B12</f>
        <v>water</v>
      </c>
      <c r="C12" s="38" t="s">
        <v>7</v>
      </c>
      <c r="D12" s="60" t="s">
        <v>7</v>
      </c>
      <c r="E12" s="38" t="s">
        <v>7</v>
      </c>
      <c r="F12" s="30"/>
      <c r="G12" s="120" t="str">
        <f>IF('Ingoing Substances'!I12="","",'Ingoing Substances'!I12)</f>
        <v/>
      </c>
      <c r="H12" s="61"/>
      <c r="I12" s="61"/>
      <c r="J12" s="61"/>
      <c r="K12" s="61"/>
      <c r="L12" s="210"/>
      <c r="M12" s="39" t="s">
        <v>7</v>
      </c>
      <c r="N12" s="227" t="s">
        <v>7</v>
      </c>
      <c r="O12" s="73" t="s">
        <v>7</v>
      </c>
      <c r="P12" s="73" t="s">
        <v>7</v>
      </c>
      <c r="Q12" s="73" t="s">
        <v>7</v>
      </c>
      <c r="R12" s="73"/>
      <c r="S12" s="18"/>
      <c r="T12" s="18"/>
      <c r="U12" s="18"/>
    </row>
    <row r="13" spans="1:21" ht="16" x14ac:dyDescent="0.2">
      <c r="A13" s="37">
        <v>2</v>
      </c>
      <c r="B13" s="320" t="str">
        <f>IF('Ingoing Substances'!B13="","",'Ingoing Substances'!B13)</f>
        <v/>
      </c>
      <c r="C13" s="321" t="str">
        <f>IF('Ingoing Substances'!C13="","",'Ingoing Substances'!C13)</f>
        <v/>
      </c>
      <c r="D13" s="322" t="str">
        <f>IF('Ingoing Substances'!G13="","",'Ingoing Substances'!G13)</f>
        <v/>
      </c>
      <c r="E13" s="6"/>
      <c r="F13" s="62" t="str">
        <f>IF(E13&gt;0,VLOOKUP(E13,'DID List'!A:L,3,FALSE),"   ")</f>
        <v xml:space="preserve">   </v>
      </c>
      <c r="G13" s="120" t="str">
        <f>IF('Ingoing Substances'!I13="","",'Ingoing Substances'!I13)</f>
        <v/>
      </c>
      <c r="H13" s="155"/>
      <c r="I13" s="493"/>
      <c r="J13" s="155"/>
      <c r="K13" s="155"/>
      <c r="L13" s="323"/>
      <c r="M13" s="63" t="str">
        <f>IF($E13=0,"",IF($E13="not included",H13,VLOOKUP($E13,'DID List'!$A:$L,10,)))</f>
        <v/>
      </c>
      <c r="N13" s="230" t="str">
        <f>IF($E13=0,"",IF($E13="not included",I13,VLOOKUP($E13,'DID List'!$A:$L,9,)))</f>
        <v/>
      </c>
      <c r="O13" s="63" t="str">
        <f>IF($E13=0,"",IF($E13="not included",J13,VLOOKUP($E13,'DID List'!$A:$L,11,)))</f>
        <v/>
      </c>
      <c r="P13" s="63" t="str">
        <f>IF($E13=0,"",IF($E13="not included",K13,VLOOKUP($E13,'DID List'!$A:$L,12,)))</f>
        <v/>
      </c>
      <c r="Q13" s="63" t="str">
        <f>IF($E13=0,"",IF(AND(P13="O",(OR($L13=1,$L13=2,$L13=3))),"Y",P13))</f>
        <v/>
      </c>
      <c r="R13" s="135" t="str">
        <f>IF(B13="","",IF(OR('Ingoing Substances'!H13=Languages!$A$61,'Ingoing Substances'!H13=Languages!$B$61),"Y",IF(OR('Ingoing Substances'!H13=Languages!$A$166,'Ingoing Substances'!H13=Languages!$B$166),"Y","N")))</f>
        <v/>
      </c>
      <c r="S13" s="18"/>
      <c r="T13" s="251">
        <v>2401</v>
      </c>
      <c r="U13" s="18"/>
    </row>
    <row r="14" spans="1:21" ht="16" x14ac:dyDescent="0.2">
      <c r="A14" s="37">
        <v>3</v>
      </c>
      <c r="B14" s="320" t="str">
        <f>IF('Ingoing Substances'!B14="","",'Ingoing Substances'!B14)</f>
        <v/>
      </c>
      <c r="C14" s="321" t="str">
        <f>IF('Ingoing Substances'!C14="","",'Ingoing Substances'!C14)</f>
        <v/>
      </c>
      <c r="D14" s="322" t="str">
        <f>IF('Ingoing Substances'!G14="","",'Ingoing Substances'!G14)</f>
        <v/>
      </c>
      <c r="E14" s="6"/>
      <c r="F14" s="62" t="str">
        <f>IF(E14&gt;0,VLOOKUP(E14,'DID List'!A:L,3,FALSE),"   ")</f>
        <v xml:space="preserve">   </v>
      </c>
      <c r="G14" s="120" t="str">
        <f>IF('Ingoing Substances'!I14="","",'Ingoing Substances'!I14)</f>
        <v/>
      </c>
      <c r="H14" s="155"/>
      <c r="I14" s="493"/>
      <c r="J14" s="155"/>
      <c r="K14" s="155"/>
      <c r="L14" s="323"/>
      <c r="M14" s="63" t="str">
        <f>IF($E14=0,"",IF($E14="not included",H14,VLOOKUP($E14,'DID List'!$A:$L,10,)))</f>
        <v/>
      </c>
      <c r="N14" s="230" t="str">
        <f>IF($E14=0,"",IF($E14="not included",I14,VLOOKUP($E14,'DID List'!$A:$L,9,)))</f>
        <v/>
      </c>
      <c r="O14" s="63" t="str">
        <f>IF($E14=0,"",IF($E14="not included",J14,VLOOKUP($E14,'DID List'!$A:$L,11,)))</f>
        <v/>
      </c>
      <c r="P14" s="63" t="str">
        <f>IF($E14=0,"",IF($E14="not included",K14,VLOOKUP($E14,'DID List'!$A:$L,12,)))</f>
        <v/>
      </c>
      <c r="Q14" s="63" t="str">
        <f t="shared" ref="Q14:Q61" si="0">IF($E14=0,"",IF(AND(P14="O",(OR($L14=1,$L14=2,$L14=3))),"Y",P14))</f>
        <v/>
      </c>
      <c r="R14" s="135" t="str">
        <f>IF(B14="","",IF(OR('Ingoing Substances'!H14=Languages!$A$61,'Ingoing Substances'!H14=Languages!$B$61),"Y",IF(OR('Ingoing Substances'!H14=Languages!$A$166,'Ingoing Substances'!H14=Languages!$B$166),"Y","N")))</f>
        <v/>
      </c>
      <c r="S14" s="18"/>
      <c r="T14" s="251">
        <v>2410</v>
      </c>
      <c r="U14" s="18"/>
    </row>
    <row r="15" spans="1:21" ht="16" x14ac:dyDescent="0.2">
      <c r="A15" s="37">
        <v>4</v>
      </c>
      <c r="B15" s="320" t="str">
        <f>IF('Ingoing Substances'!B15="","",'Ingoing Substances'!B15)</f>
        <v/>
      </c>
      <c r="C15" s="321" t="str">
        <f>IF('Ingoing Substances'!C15="","",'Ingoing Substances'!C15)</f>
        <v/>
      </c>
      <c r="D15" s="322" t="str">
        <f>IF('Ingoing Substances'!G15="","",'Ingoing Substances'!G15)</f>
        <v/>
      </c>
      <c r="E15" s="6"/>
      <c r="F15" s="62" t="str">
        <f>IF(E15&gt;0,VLOOKUP(E15,'DID List'!A:L,3,FALSE),"   ")</f>
        <v xml:space="preserve">   </v>
      </c>
      <c r="G15" s="120" t="str">
        <f>IF('Ingoing Substances'!I15="","",'Ingoing Substances'!I15)</f>
        <v/>
      </c>
      <c r="H15" s="155"/>
      <c r="I15" s="493"/>
      <c r="J15" s="155"/>
      <c r="K15" s="155"/>
      <c r="L15" s="323"/>
      <c r="M15" s="63" t="str">
        <f>IF($E15=0,"",IF($E15="not included",H15,VLOOKUP($E15,'DID List'!$A:$L,10,)))</f>
        <v/>
      </c>
      <c r="N15" s="230" t="str">
        <f>IF($E15=0,"",IF($E15="not included",I15,VLOOKUP($E15,'DID List'!$A:$L,9,)))</f>
        <v/>
      </c>
      <c r="O15" s="63" t="str">
        <f>IF($E15=0,"",IF($E15="not included",J15,VLOOKUP($E15,'DID List'!$A:$L,11,)))</f>
        <v/>
      </c>
      <c r="P15" s="63" t="str">
        <f>IF($E15=0,"",IF($E15="not included",K15,VLOOKUP($E15,'DID List'!$A:$L,12,)))</f>
        <v/>
      </c>
      <c r="Q15" s="63" t="str">
        <f t="shared" si="0"/>
        <v/>
      </c>
      <c r="R15" s="135" t="str">
        <f>IF(B15="","",IF(OR('Ingoing Substances'!H15=Languages!$A$61,'Ingoing Substances'!H15=Languages!$B$61),"Y",IF(OR('Ingoing Substances'!H15=Languages!$A$166,'Ingoing Substances'!H15=Languages!$B$166),"Y","N")))</f>
        <v/>
      </c>
      <c r="S15" s="18"/>
      <c r="T15" s="251">
        <v>2411</v>
      </c>
      <c r="U15" s="18"/>
    </row>
    <row r="16" spans="1:21" ht="16" x14ac:dyDescent="0.2">
      <c r="A16" s="37">
        <v>5</v>
      </c>
      <c r="B16" s="320" t="str">
        <f>IF('Ingoing Substances'!B16="","",'Ingoing Substances'!B16)</f>
        <v/>
      </c>
      <c r="C16" s="321" t="str">
        <f>IF('Ingoing Substances'!C16="","",'Ingoing Substances'!C16)</f>
        <v/>
      </c>
      <c r="D16" s="322" t="str">
        <f>IF('Ingoing Substances'!G16="","",'Ingoing Substances'!G16)</f>
        <v/>
      </c>
      <c r="E16" s="6"/>
      <c r="F16" s="62" t="str">
        <f>IF(E16&gt;0,VLOOKUP(E16,'DID List'!A:L,3,FALSE),"   ")</f>
        <v xml:space="preserve">   </v>
      </c>
      <c r="G16" s="120" t="str">
        <f>IF('Ingoing Substances'!I16="","",'Ingoing Substances'!I16)</f>
        <v/>
      </c>
      <c r="H16" s="155"/>
      <c r="I16" s="493"/>
      <c r="J16" s="155"/>
      <c r="K16" s="155"/>
      <c r="L16" s="323"/>
      <c r="M16" s="63" t="str">
        <f>IF($E16=0,"",IF($E16="not included",H16,VLOOKUP($E16,'DID List'!$A:$L,10,)))</f>
        <v/>
      </c>
      <c r="N16" s="230" t="str">
        <f>IF($E16=0,"",IF($E16="not included",I16,VLOOKUP($E16,'DID List'!$A:$L,9,)))</f>
        <v/>
      </c>
      <c r="O16" s="63" t="str">
        <f>IF($E16=0,"",IF($E16="not included",J16,VLOOKUP($E16,'DID List'!$A:$L,11,)))</f>
        <v/>
      </c>
      <c r="P16" s="63" t="str">
        <f>IF($E16=0,"",IF($E16="not included",K16,VLOOKUP($E16,'DID List'!$A:$L,12,)))</f>
        <v/>
      </c>
      <c r="Q16" s="63" t="str">
        <f t="shared" si="0"/>
        <v/>
      </c>
      <c r="R16" s="135" t="str">
        <f>IF(B16="","",IF(OR('Ingoing Substances'!H16=Languages!$A$61,'Ingoing Substances'!H16=Languages!$B$61),"Y",IF(OR('Ingoing Substances'!H16=Languages!$A$166,'Ingoing Substances'!H16=Languages!$B$166),"Y","N")))</f>
        <v/>
      </c>
      <c r="S16" s="18"/>
      <c r="T16" s="251">
        <v>2504</v>
      </c>
      <c r="U16" s="18"/>
    </row>
    <row r="17" spans="1:21" ht="16" x14ac:dyDescent="0.2">
      <c r="A17" s="37">
        <v>6</v>
      </c>
      <c r="B17" s="320" t="str">
        <f>IF('Ingoing Substances'!B17="","",'Ingoing Substances'!B17)</f>
        <v/>
      </c>
      <c r="C17" s="321" t="str">
        <f>IF('Ingoing Substances'!C17="","",'Ingoing Substances'!C17)</f>
        <v/>
      </c>
      <c r="D17" s="322" t="str">
        <f>IF('Ingoing Substances'!G17="","",'Ingoing Substances'!G17)</f>
        <v/>
      </c>
      <c r="E17" s="6"/>
      <c r="F17" s="62" t="str">
        <f>IF(E17&gt;0,VLOOKUP(E17,'DID List'!A:L,3,FALSE),"   ")</f>
        <v xml:space="preserve">   </v>
      </c>
      <c r="G17" s="120" t="str">
        <f>IF('Ingoing Substances'!I17="","",'Ingoing Substances'!I17)</f>
        <v/>
      </c>
      <c r="H17" s="155"/>
      <c r="I17" s="493"/>
      <c r="J17" s="155"/>
      <c r="K17" s="155"/>
      <c r="L17" s="323"/>
      <c r="M17" s="63" t="str">
        <f>IF($E17=0,"",IF($E17="not included",H17,VLOOKUP($E17,'DID List'!$A:$L,10,)))</f>
        <v/>
      </c>
      <c r="N17" s="230" t="str">
        <f>IF($E17=0,"",IF($E17="not included",I17,VLOOKUP($E17,'DID List'!$A:$L,9,)))</f>
        <v/>
      </c>
      <c r="O17" s="63" t="str">
        <f>IF($E17=0,"",IF($E17="not included",J17,VLOOKUP($E17,'DID List'!$A:$L,11,)))</f>
        <v/>
      </c>
      <c r="P17" s="63" t="str">
        <f>IF($E17=0,"",IF($E17="not included",K17,VLOOKUP($E17,'DID List'!$A:$L,12,)))</f>
        <v/>
      </c>
      <c r="Q17" s="63" t="str">
        <f t="shared" si="0"/>
        <v/>
      </c>
      <c r="R17" s="135" t="str">
        <f>IF(B17="","",IF(OR('Ingoing Substances'!H17=Languages!$A$61,'Ingoing Substances'!H17=Languages!$B$61),"Y",IF(OR('Ingoing Substances'!H17=Languages!$A$166,'Ingoing Substances'!H17=Languages!$B$166),"Y","N")))</f>
        <v/>
      </c>
      <c r="S17" s="18"/>
      <c r="T17" s="251">
        <v>2510</v>
      </c>
      <c r="U17" s="18"/>
    </row>
    <row r="18" spans="1:21" ht="16" x14ac:dyDescent="0.2">
      <c r="A18" s="37">
        <v>7</v>
      </c>
      <c r="B18" s="320" t="str">
        <f>IF('Ingoing Substances'!B18="","",'Ingoing Substances'!B18)</f>
        <v/>
      </c>
      <c r="C18" s="321" t="str">
        <f>IF('Ingoing Substances'!C18="","",'Ingoing Substances'!C18)</f>
        <v/>
      </c>
      <c r="D18" s="322" t="str">
        <f>IF('Ingoing Substances'!G18="","",'Ingoing Substances'!G18)</f>
        <v/>
      </c>
      <c r="E18" s="6"/>
      <c r="F18" s="62" t="str">
        <f>IF(E18&gt;0,VLOOKUP(E18,'DID List'!A:L,3,FALSE),"   ")</f>
        <v xml:space="preserve">   </v>
      </c>
      <c r="G18" s="120" t="str">
        <f>IF('Ingoing Substances'!I18="","",'Ingoing Substances'!I18)</f>
        <v/>
      </c>
      <c r="H18" s="155"/>
      <c r="I18" s="493"/>
      <c r="J18" s="155"/>
      <c r="K18" s="155"/>
      <c r="L18" s="323"/>
      <c r="M18" s="63" t="str">
        <f>IF($E18=0,"",IF($E18="not included",H18,VLOOKUP($E18,'DID List'!$A:$L,10,)))</f>
        <v/>
      </c>
      <c r="N18" s="230" t="str">
        <f>IF($E18=0,"",IF($E18="not included",I18,VLOOKUP($E18,'DID List'!$A:$L,9,)))</f>
        <v/>
      </c>
      <c r="O18" s="63" t="str">
        <f>IF($E18=0,"",IF($E18="not included",J18,VLOOKUP($E18,'DID List'!$A:$L,11,)))</f>
        <v/>
      </c>
      <c r="P18" s="63" t="str">
        <f>IF($E18=0,"",IF($E18="not included",K18,VLOOKUP($E18,'DID List'!$A:$L,12,)))</f>
        <v/>
      </c>
      <c r="Q18" s="63" t="str">
        <f t="shared" si="0"/>
        <v/>
      </c>
      <c r="R18" s="135" t="str">
        <f>IF(B18="","",IF(OR('Ingoing Substances'!H18=Languages!$A$61,'Ingoing Substances'!H18=Languages!$B$61),"Y",IF(OR('Ingoing Substances'!H18=Languages!$A$166,'Ingoing Substances'!H18=Languages!$B$166),"Y","N")))</f>
        <v/>
      </c>
      <c r="S18" s="18"/>
      <c r="T18" s="251">
        <v>2512</v>
      </c>
      <c r="U18" s="18"/>
    </row>
    <row r="19" spans="1:21" ht="16" x14ac:dyDescent="0.2">
      <c r="A19" s="37">
        <v>8</v>
      </c>
      <c r="B19" s="320" t="str">
        <f>IF('Ingoing Substances'!B19="","",'Ingoing Substances'!B19)</f>
        <v/>
      </c>
      <c r="C19" s="321" t="str">
        <f>IF('Ingoing Substances'!C19="","",'Ingoing Substances'!C19)</f>
        <v/>
      </c>
      <c r="D19" s="322" t="str">
        <f>IF('Ingoing Substances'!G19="","",'Ingoing Substances'!G19)</f>
        <v/>
      </c>
      <c r="E19" s="6"/>
      <c r="F19" s="62" t="str">
        <f>IF(E19&gt;0,VLOOKUP(E19,'DID List'!A:L,3,FALSE),"   ")</f>
        <v xml:space="preserve">   </v>
      </c>
      <c r="G19" s="120" t="str">
        <f>IF('Ingoing Substances'!I19="","",'Ingoing Substances'!I19)</f>
        <v/>
      </c>
      <c r="H19" s="155"/>
      <c r="I19" s="493"/>
      <c r="J19" s="155"/>
      <c r="K19" s="155"/>
      <c r="L19" s="323"/>
      <c r="M19" s="63" t="str">
        <f>IF($E19=0,"",IF($E19="not included",H19,VLOOKUP($E19,'DID List'!$A:$L,10,)))</f>
        <v/>
      </c>
      <c r="N19" s="230" t="str">
        <f>IF($E19=0,"",IF($E19="not included",I19,VLOOKUP($E19,'DID List'!$A:$L,9,)))</f>
        <v/>
      </c>
      <c r="O19" s="63" t="str">
        <f>IF($E19=0,"",IF($E19="not included",J19,VLOOKUP($E19,'DID List'!$A:$L,11,)))</f>
        <v/>
      </c>
      <c r="P19" s="63" t="str">
        <f>IF($E19=0,"",IF($E19="not included",K19,VLOOKUP($E19,'DID List'!$A:$L,12,)))</f>
        <v/>
      </c>
      <c r="Q19" s="63" t="str">
        <f t="shared" si="0"/>
        <v/>
      </c>
      <c r="R19" s="135" t="str">
        <f>IF(B19="","",IF(OR('Ingoing Substances'!H19=Languages!$A$61,'Ingoing Substances'!H19=Languages!$B$61),"Y",IF(OR('Ingoing Substances'!H19=Languages!$A$166,'Ingoing Substances'!H19=Languages!$B$166),"Y","N")))</f>
        <v/>
      </c>
      <c r="S19" s="18"/>
      <c r="T19" s="251">
        <v>2608</v>
      </c>
      <c r="U19" s="18"/>
    </row>
    <row r="20" spans="1:21" ht="16" x14ac:dyDescent="0.2">
      <c r="A20" s="37">
        <v>9</v>
      </c>
      <c r="B20" s="320" t="str">
        <f>IF('Ingoing Substances'!B20="","",'Ingoing Substances'!B20)</f>
        <v/>
      </c>
      <c r="C20" s="321" t="str">
        <f>IF('Ingoing Substances'!C20="","",'Ingoing Substances'!C20)</f>
        <v/>
      </c>
      <c r="D20" s="322" t="str">
        <f>IF('Ingoing Substances'!G20="","",'Ingoing Substances'!G20)</f>
        <v/>
      </c>
      <c r="E20" s="6"/>
      <c r="F20" s="62" t="str">
        <f>IF(E20&gt;0,VLOOKUP(E20,'DID List'!A:L,3,FALSE),"   ")</f>
        <v xml:space="preserve">   </v>
      </c>
      <c r="G20" s="120" t="str">
        <f>IF('Ingoing Substances'!I20="","",'Ingoing Substances'!I20)</f>
        <v/>
      </c>
      <c r="H20" s="155"/>
      <c r="I20" s="493"/>
      <c r="J20" s="155"/>
      <c r="K20" s="155"/>
      <c r="L20" s="323"/>
      <c r="M20" s="63" t="str">
        <f>IF($E20=0,"",IF($E20="not included",H20,VLOOKUP($E20,'DID List'!$A:$L,10,)))</f>
        <v/>
      </c>
      <c r="N20" s="230" t="str">
        <f>IF($E20=0,"",IF($E20="not included",I20,VLOOKUP($E20,'DID List'!$A:$L,9,)))</f>
        <v/>
      </c>
      <c r="O20" s="63" t="str">
        <f>IF($E20=0,"",IF($E20="not included",J20,VLOOKUP($E20,'DID List'!$A:$L,11,)))</f>
        <v/>
      </c>
      <c r="P20" s="63" t="str">
        <f>IF($E20=0,"",IF($E20="not included",K20,VLOOKUP($E20,'DID List'!$A:$L,12,)))</f>
        <v/>
      </c>
      <c r="Q20" s="63" t="str">
        <f t="shared" si="0"/>
        <v/>
      </c>
      <c r="R20" s="135" t="str">
        <f>IF(B20="","",IF(OR('Ingoing Substances'!H20=Languages!$A$61,'Ingoing Substances'!H20=Languages!$B$61),"Y",IF(OR('Ingoing Substances'!H20=Languages!$A$166,'Ingoing Substances'!H20=Languages!$B$166),"Y","N")))</f>
        <v/>
      </c>
      <c r="S20" s="18"/>
      <c r="T20" s="251">
        <v>2565</v>
      </c>
      <c r="U20" s="18"/>
    </row>
    <row r="21" spans="1:21" ht="16" x14ac:dyDescent="0.2">
      <c r="A21" s="37">
        <v>10</v>
      </c>
      <c r="B21" s="320" t="str">
        <f>IF('Ingoing Substances'!B21="","",'Ingoing Substances'!B21)</f>
        <v/>
      </c>
      <c r="C21" s="321" t="str">
        <f>IF('Ingoing Substances'!C21="","",'Ingoing Substances'!C21)</f>
        <v/>
      </c>
      <c r="D21" s="322" t="str">
        <f>IF('Ingoing Substances'!G21="","",'Ingoing Substances'!G21)</f>
        <v/>
      </c>
      <c r="E21" s="6"/>
      <c r="F21" s="62" t="str">
        <f>IF(E21&gt;0,VLOOKUP(E21,'DID List'!A:L,3,FALSE),"   ")</f>
        <v xml:space="preserve">   </v>
      </c>
      <c r="G21" s="120" t="str">
        <f>IF('Ingoing Substances'!I21="","",'Ingoing Substances'!I21)</f>
        <v/>
      </c>
      <c r="H21" s="155"/>
      <c r="I21" s="493"/>
      <c r="J21" s="155"/>
      <c r="K21" s="155"/>
      <c r="L21" s="323"/>
      <c r="M21" s="63" t="str">
        <f>IF($E21=0,"",IF($E21="not included",H21,VLOOKUP($E21,'DID List'!$A:$L,10,)))</f>
        <v/>
      </c>
      <c r="N21" s="230" t="str">
        <f>IF($E21=0,"",IF($E21="not included",I21,VLOOKUP($E21,'DID List'!$A:$L,9,)))</f>
        <v/>
      </c>
      <c r="O21" s="63" t="str">
        <f>IF($E21=0,"",IF($E21="not included",J21,VLOOKUP($E21,'DID List'!$A:$L,11,)))</f>
        <v/>
      </c>
      <c r="P21" s="63" t="str">
        <f>IF($E21=0,"",IF($E21="not included",K21,VLOOKUP($E21,'DID List'!$A:$L,12,)))</f>
        <v/>
      </c>
      <c r="Q21" s="63" t="str">
        <f t="shared" si="0"/>
        <v/>
      </c>
      <c r="R21" s="135" t="str">
        <f>IF(B21="","",IF(OR('Ingoing Substances'!H21=Languages!$A$61,'Ingoing Substances'!H21=Languages!$B$61),"Y",IF(OR('Ingoing Substances'!H21=Languages!$A$166,'Ingoing Substances'!H21=Languages!$B$166),"Y","N")))</f>
        <v/>
      </c>
      <c r="S21" s="18"/>
      <c r="T21" s="18"/>
      <c r="U21" s="18"/>
    </row>
    <row r="22" spans="1:21" ht="16" x14ac:dyDescent="0.2">
      <c r="A22" s="37">
        <v>11</v>
      </c>
      <c r="B22" s="320" t="str">
        <f>IF('Ingoing Substances'!B22="","",'Ingoing Substances'!B22)</f>
        <v/>
      </c>
      <c r="C22" s="321" t="str">
        <f>IF('Ingoing Substances'!C22="","",'Ingoing Substances'!C22)</f>
        <v/>
      </c>
      <c r="D22" s="322" t="str">
        <f>IF('Ingoing Substances'!G22="","",'Ingoing Substances'!G22)</f>
        <v/>
      </c>
      <c r="E22" s="6"/>
      <c r="F22" s="62" t="str">
        <f>IF(E22&gt;0,VLOOKUP(E22,'DID List'!A:L,3,FALSE),"   ")</f>
        <v xml:space="preserve">   </v>
      </c>
      <c r="G22" s="120" t="str">
        <f>IF('Ingoing Substances'!I22="","",'Ingoing Substances'!I22)</f>
        <v/>
      </c>
      <c r="H22" s="155"/>
      <c r="I22" s="493"/>
      <c r="J22" s="155"/>
      <c r="K22" s="155"/>
      <c r="L22" s="323"/>
      <c r="M22" s="63" t="str">
        <f>IF($E22=0,"",IF($E22="not included",H22,VLOOKUP($E22,'DID List'!$A:$L,10,)))</f>
        <v/>
      </c>
      <c r="N22" s="230" t="str">
        <f>IF($E22=0,"",IF($E22="not included",I22,VLOOKUP($E22,'DID List'!$A:$L,9,)))</f>
        <v/>
      </c>
      <c r="O22" s="63" t="str">
        <f>IF($E22=0,"",IF($E22="not included",J22,VLOOKUP($E22,'DID List'!$A:$L,11,)))</f>
        <v/>
      </c>
      <c r="P22" s="63" t="str">
        <f>IF($E22=0,"",IF($E22="not included",K22,VLOOKUP($E22,'DID List'!$A:$L,12,)))</f>
        <v/>
      </c>
      <c r="Q22" s="63" t="str">
        <f t="shared" si="0"/>
        <v/>
      </c>
      <c r="R22" s="135" t="str">
        <f>IF(B22="","",IF(OR('Ingoing Substances'!H22=Languages!$A$61,'Ingoing Substances'!H22=Languages!$B$61),"Y",IF(OR('Ingoing Substances'!H22=Languages!$A$166,'Ingoing Substances'!H22=Languages!$B$166),"Y","N")))</f>
        <v/>
      </c>
      <c r="S22" s="18"/>
      <c r="T22" s="18"/>
      <c r="U22" s="18"/>
    </row>
    <row r="23" spans="1:21" ht="16" x14ac:dyDescent="0.2">
      <c r="A23" s="37">
        <v>12</v>
      </c>
      <c r="B23" s="320" t="str">
        <f>IF('Ingoing Substances'!B23="","",'Ingoing Substances'!B23)</f>
        <v/>
      </c>
      <c r="C23" s="321" t="str">
        <f>IF('Ingoing Substances'!C23="","",'Ingoing Substances'!C23)</f>
        <v/>
      </c>
      <c r="D23" s="322" t="str">
        <f>IF('Ingoing Substances'!G23="","",'Ingoing Substances'!G23)</f>
        <v/>
      </c>
      <c r="E23" s="6"/>
      <c r="F23" s="62" t="str">
        <f>IF(E23&gt;0,VLOOKUP(E23,'DID List'!A:L,3,FALSE),"   ")</f>
        <v xml:space="preserve">   </v>
      </c>
      <c r="G23" s="120" t="str">
        <f>IF('Ingoing Substances'!I23="","",'Ingoing Substances'!I23)</f>
        <v/>
      </c>
      <c r="H23" s="155"/>
      <c r="I23" s="493"/>
      <c r="J23" s="155"/>
      <c r="K23" s="155"/>
      <c r="L23" s="323"/>
      <c r="M23" s="63" t="str">
        <f>IF($E23=0,"",IF($E23="not included",H23,VLOOKUP($E23,'DID List'!$A:$L,10,)))</f>
        <v/>
      </c>
      <c r="N23" s="230" t="str">
        <f>IF($E23=0,"",IF($E23="not included",I23,VLOOKUP($E23,'DID List'!$A:$L,9,)))</f>
        <v/>
      </c>
      <c r="O23" s="63" t="str">
        <f>IF($E23=0,"",IF($E23="not included",J23,VLOOKUP($E23,'DID List'!$A:$L,11,)))</f>
        <v/>
      </c>
      <c r="P23" s="63" t="str">
        <f>IF($E23=0,"",IF($E23="not included",K23,VLOOKUP($E23,'DID List'!$A:$L,12,)))</f>
        <v/>
      </c>
      <c r="Q23" s="63" t="str">
        <f t="shared" si="0"/>
        <v/>
      </c>
      <c r="R23" s="135" t="str">
        <f>IF(B23="","",IF(OR('Ingoing Substances'!H23=Languages!$A$61,'Ingoing Substances'!H23=Languages!$B$61),"Y",IF(OR('Ingoing Substances'!H23=Languages!$A$166,'Ingoing Substances'!H23=Languages!$B$166),"Y","N")))</f>
        <v/>
      </c>
      <c r="S23" s="18"/>
      <c r="T23" s="18"/>
      <c r="U23" s="18"/>
    </row>
    <row r="24" spans="1:21" ht="16" x14ac:dyDescent="0.2">
      <c r="A24" s="37">
        <v>13</v>
      </c>
      <c r="B24" s="320" t="str">
        <f>IF('Ingoing Substances'!B24="","",'Ingoing Substances'!B24)</f>
        <v/>
      </c>
      <c r="C24" s="321" t="str">
        <f>IF('Ingoing Substances'!C24="","",'Ingoing Substances'!C24)</f>
        <v/>
      </c>
      <c r="D24" s="322" t="str">
        <f>IF('Ingoing Substances'!G24="","",'Ingoing Substances'!G24)</f>
        <v/>
      </c>
      <c r="E24" s="6"/>
      <c r="F24" s="62" t="str">
        <f>IF(E24&gt;0,VLOOKUP(E24,'DID List'!A:L,3,FALSE),"   ")</f>
        <v xml:space="preserve">   </v>
      </c>
      <c r="G24" s="120" t="str">
        <f>IF('Ingoing Substances'!I24="","",'Ingoing Substances'!I24)</f>
        <v/>
      </c>
      <c r="H24" s="155"/>
      <c r="I24" s="493"/>
      <c r="J24" s="155"/>
      <c r="K24" s="155"/>
      <c r="L24" s="323"/>
      <c r="M24" s="63" t="str">
        <f>IF($E24=0,"",IF($E24="not included",H24,VLOOKUP($E24,'DID List'!$A:$L,10,)))</f>
        <v/>
      </c>
      <c r="N24" s="230" t="str">
        <f>IF($E24=0,"",IF($E24="not included",I24,VLOOKUP($E24,'DID List'!$A:$L,9,)))</f>
        <v/>
      </c>
      <c r="O24" s="63" t="str">
        <f>IF($E24=0,"",IF($E24="not included",J24,VLOOKUP($E24,'DID List'!$A:$L,11,)))</f>
        <v/>
      </c>
      <c r="P24" s="63" t="str">
        <f>IF($E24=0,"",IF($E24="not included",K24,VLOOKUP($E24,'DID List'!$A:$L,12,)))</f>
        <v/>
      </c>
      <c r="Q24" s="63" t="str">
        <f t="shared" si="0"/>
        <v/>
      </c>
      <c r="R24" s="135" t="str">
        <f>IF(B24="","",IF(OR('Ingoing Substances'!H24=Languages!$A$61,'Ingoing Substances'!H24=Languages!$B$61),"Y",IF(OR('Ingoing Substances'!H24=Languages!$A$166,'Ingoing Substances'!H24=Languages!$B$166),"Y","N")))</f>
        <v/>
      </c>
      <c r="S24" s="18"/>
      <c r="T24" s="18"/>
      <c r="U24" s="18"/>
    </row>
    <row r="25" spans="1:21" ht="16" x14ac:dyDescent="0.2">
      <c r="A25" s="37">
        <v>14</v>
      </c>
      <c r="B25" s="320" t="str">
        <f>IF('Ingoing Substances'!B25="","",'Ingoing Substances'!B25)</f>
        <v/>
      </c>
      <c r="C25" s="321" t="str">
        <f>IF('Ingoing Substances'!C25="","",'Ingoing Substances'!C25)</f>
        <v/>
      </c>
      <c r="D25" s="322" t="str">
        <f>IF('Ingoing Substances'!G25="","",'Ingoing Substances'!G25)</f>
        <v/>
      </c>
      <c r="E25" s="6"/>
      <c r="F25" s="62" t="str">
        <f>IF(E25&gt;0,VLOOKUP(E25,'DID List'!A:L,3,FALSE),"   ")</f>
        <v xml:space="preserve">   </v>
      </c>
      <c r="G25" s="120" t="str">
        <f>IF('Ingoing Substances'!I25="","",'Ingoing Substances'!I25)</f>
        <v/>
      </c>
      <c r="H25" s="155"/>
      <c r="I25" s="493"/>
      <c r="J25" s="155"/>
      <c r="K25" s="155"/>
      <c r="L25" s="323"/>
      <c r="M25" s="63" t="str">
        <f>IF($E25=0,"",IF($E25="not included",H25,VLOOKUP($E25,'DID List'!$A:$L,10,)))</f>
        <v/>
      </c>
      <c r="N25" s="230" t="str">
        <f>IF($E25=0,"",IF($E25="not included",I25,VLOOKUP($E25,'DID List'!$A:$L,9,)))</f>
        <v/>
      </c>
      <c r="O25" s="63" t="str">
        <f>IF($E25=0,"",IF($E25="not included",J25,VLOOKUP($E25,'DID List'!$A:$L,11,)))</f>
        <v/>
      </c>
      <c r="P25" s="63" t="str">
        <f>IF($E25=0,"",IF($E25="not included",K25,VLOOKUP($E25,'DID List'!$A:$L,12,)))</f>
        <v/>
      </c>
      <c r="Q25" s="63" t="str">
        <f t="shared" si="0"/>
        <v/>
      </c>
      <c r="R25" s="135" t="str">
        <f>IF(B25="","",IF(OR('Ingoing Substances'!H25=Languages!$A$61,'Ingoing Substances'!H25=Languages!$B$61),"Y",IF(OR('Ingoing Substances'!H25=Languages!$A$166,'Ingoing Substances'!H25=Languages!$B$166),"Y","N")))</f>
        <v/>
      </c>
      <c r="S25" s="18"/>
      <c r="T25" s="18"/>
      <c r="U25" s="18"/>
    </row>
    <row r="26" spans="1:21" ht="16" x14ac:dyDescent="0.2">
      <c r="A26" s="37">
        <v>15</v>
      </c>
      <c r="B26" s="320" t="str">
        <f>IF('Ingoing Substances'!B26="","",'Ingoing Substances'!B26)</f>
        <v/>
      </c>
      <c r="C26" s="321" t="str">
        <f>IF('Ingoing Substances'!C26="","",'Ingoing Substances'!C26)</f>
        <v/>
      </c>
      <c r="D26" s="322" t="str">
        <f>IF('Ingoing Substances'!G26="","",'Ingoing Substances'!G26)</f>
        <v/>
      </c>
      <c r="E26" s="6"/>
      <c r="F26" s="62" t="str">
        <f>IF(E26&gt;0,VLOOKUP(E26,'DID List'!A:L,3,FALSE),"   ")</f>
        <v xml:space="preserve">   </v>
      </c>
      <c r="G26" s="120" t="str">
        <f>IF('Ingoing Substances'!I26="","",'Ingoing Substances'!I26)</f>
        <v/>
      </c>
      <c r="H26" s="155"/>
      <c r="I26" s="493"/>
      <c r="J26" s="155"/>
      <c r="K26" s="155"/>
      <c r="L26" s="323"/>
      <c r="M26" s="63" t="str">
        <f>IF($E26=0,"",IF($E26="not included",H26,VLOOKUP($E26,'DID List'!$A:$L,10,)))</f>
        <v/>
      </c>
      <c r="N26" s="230" t="str">
        <f>IF($E26=0,"",IF($E26="not included",I26,VLOOKUP($E26,'DID List'!$A:$L,9,)))</f>
        <v/>
      </c>
      <c r="O26" s="63" t="str">
        <f>IF($E26=0,"",IF($E26="not included",J26,VLOOKUP($E26,'DID List'!$A:$L,11,)))</f>
        <v/>
      </c>
      <c r="P26" s="63" t="str">
        <f>IF($E26=0,"",IF($E26="not included",K26,VLOOKUP($E26,'DID List'!$A:$L,12,)))</f>
        <v/>
      </c>
      <c r="Q26" s="63" t="str">
        <f t="shared" si="0"/>
        <v/>
      </c>
      <c r="R26" s="135" t="str">
        <f>IF(B26="","",IF(OR('Ingoing Substances'!H26=Languages!$A$61,'Ingoing Substances'!H26=Languages!$B$61),"Y",IF(OR('Ingoing Substances'!H26=Languages!$A$166,'Ingoing Substances'!H26=Languages!$B$166),"Y","N")))</f>
        <v/>
      </c>
      <c r="S26" s="18"/>
      <c r="T26" s="18"/>
      <c r="U26" s="18"/>
    </row>
    <row r="27" spans="1:21" ht="16" x14ac:dyDescent="0.2">
      <c r="A27" s="37">
        <v>16</v>
      </c>
      <c r="B27" s="320" t="str">
        <f>IF('Ingoing Substances'!B27="","",'Ingoing Substances'!B27)</f>
        <v/>
      </c>
      <c r="C27" s="321" t="str">
        <f>IF('Ingoing Substances'!C27="","",'Ingoing Substances'!C27)</f>
        <v/>
      </c>
      <c r="D27" s="322" t="str">
        <f>IF('Ingoing Substances'!G27="","",'Ingoing Substances'!G27)</f>
        <v/>
      </c>
      <c r="E27" s="6"/>
      <c r="F27" s="62" t="str">
        <f>IF(E27&gt;0,VLOOKUP(E27,'DID List'!A:L,3,FALSE),"   ")</f>
        <v xml:space="preserve">   </v>
      </c>
      <c r="G27" s="120" t="str">
        <f>IF('Ingoing Substances'!I27="","",'Ingoing Substances'!I27)</f>
        <v/>
      </c>
      <c r="H27" s="155"/>
      <c r="I27" s="493"/>
      <c r="J27" s="155"/>
      <c r="K27" s="155"/>
      <c r="L27" s="323"/>
      <c r="M27" s="63" t="str">
        <f>IF($E27=0,"",IF($E27="not included",H27,VLOOKUP($E27,'DID List'!$A:$L,10,)))</f>
        <v/>
      </c>
      <c r="N27" s="230" t="str">
        <f>IF($E27=0,"",IF($E27="not included",I27,VLOOKUP($E27,'DID List'!$A:$L,9,)))</f>
        <v/>
      </c>
      <c r="O27" s="63" t="str">
        <f>IF($E27=0,"",IF($E27="not included",J27,VLOOKUP($E27,'DID List'!$A:$L,11,)))</f>
        <v/>
      </c>
      <c r="P27" s="63" t="str">
        <f>IF($E27=0,"",IF($E27="not included",K27,VLOOKUP($E27,'DID List'!$A:$L,12,)))</f>
        <v/>
      </c>
      <c r="Q27" s="63" t="str">
        <f t="shared" si="0"/>
        <v/>
      </c>
      <c r="R27" s="135" t="str">
        <f>IF(B27="","",IF(OR('Ingoing Substances'!H27=Languages!$A$61,'Ingoing Substances'!H27=Languages!$B$61),"Y",IF(OR('Ingoing Substances'!H27=Languages!$A$166,'Ingoing Substances'!H27=Languages!$B$166),"Y","N")))</f>
        <v/>
      </c>
      <c r="S27" s="18"/>
      <c r="T27" s="18"/>
      <c r="U27" s="18"/>
    </row>
    <row r="28" spans="1:21" ht="16" x14ac:dyDescent="0.2">
      <c r="A28" s="37">
        <v>17</v>
      </c>
      <c r="B28" s="320" t="str">
        <f>IF('Ingoing Substances'!B28="","",'Ingoing Substances'!B28)</f>
        <v/>
      </c>
      <c r="C28" s="321" t="str">
        <f>IF('Ingoing Substances'!C28="","",'Ingoing Substances'!C28)</f>
        <v/>
      </c>
      <c r="D28" s="322" t="str">
        <f>IF('Ingoing Substances'!G28="","",'Ingoing Substances'!G28)</f>
        <v/>
      </c>
      <c r="E28" s="6"/>
      <c r="F28" s="62" t="str">
        <f>IF(E28&gt;0,VLOOKUP(E28,'DID List'!A:L,3,FALSE),"   ")</f>
        <v xml:space="preserve">   </v>
      </c>
      <c r="G28" s="120" t="str">
        <f>IF('Ingoing Substances'!I28="","",'Ingoing Substances'!I28)</f>
        <v/>
      </c>
      <c r="H28" s="155"/>
      <c r="I28" s="493"/>
      <c r="J28" s="155"/>
      <c r="K28" s="155"/>
      <c r="L28" s="323"/>
      <c r="M28" s="63" t="str">
        <f>IF($E28=0,"",IF($E28="not included",H28,VLOOKUP($E28,'DID List'!$A:$L,10,)))</f>
        <v/>
      </c>
      <c r="N28" s="230" t="str">
        <f>IF($E28=0,"",IF($E28="not included",I28,VLOOKUP($E28,'DID List'!$A:$L,9,)))</f>
        <v/>
      </c>
      <c r="O28" s="63" t="str">
        <f>IF($E28=0,"",IF($E28="not included",J28,VLOOKUP($E28,'DID List'!$A:$L,11,)))</f>
        <v/>
      </c>
      <c r="P28" s="63" t="str">
        <f>IF($E28=0,"",IF($E28="not included",K28,VLOOKUP($E28,'DID List'!$A:$L,12,)))</f>
        <v/>
      </c>
      <c r="Q28" s="63" t="str">
        <f t="shared" si="0"/>
        <v/>
      </c>
      <c r="R28" s="135" t="str">
        <f>IF(B28="","",IF(OR('Ingoing Substances'!H28=Languages!$A$61,'Ingoing Substances'!H28=Languages!$B$61),"Y",IF(OR('Ingoing Substances'!H28=Languages!$A$166,'Ingoing Substances'!H28=Languages!$B$166),"Y","N")))</f>
        <v/>
      </c>
      <c r="S28" s="18"/>
      <c r="T28" s="18"/>
      <c r="U28" s="18"/>
    </row>
    <row r="29" spans="1:21" ht="16" x14ac:dyDescent="0.2">
      <c r="A29" s="37">
        <v>18</v>
      </c>
      <c r="B29" s="320" t="str">
        <f>IF('Ingoing Substances'!B29="","",'Ingoing Substances'!B29)</f>
        <v/>
      </c>
      <c r="C29" s="321" t="str">
        <f>IF('Ingoing Substances'!C29="","",'Ingoing Substances'!C29)</f>
        <v/>
      </c>
      <c r="D29" s="322" t="str">
        <f>IF('Ingoing Substances'!G29="","",'Ingoing Substances'!G29)</f>
        <v/>
      </c>
      <c r="E29" s="6"/>
      <c r="F29" s="62" t="str">
        <f>IF(E29&gt;0,VLOOKUP(E29,'DID List'!A:L,3,FALSE),"   ")</f>
        <v xml:space="preserve">   </v>
      </c>
      <c r="G29" s="120" t="str">
        <f>IF('Ingoing Substances'!I29="","",'Ingoing Substances'!I29)</f>
        <v/>
      </c>
      <c r="H29" s="155"/>
      <c r="I29" s="493"/>
      <c r="J29" s="155"/>
      <c r="K29" s="155"/>
      <c r="L29" s="323"/>
      <c r="M29" s="63" t="str">
        <f>IF($E29=0,"",IF($E29="not included",H29,VLOOKUP($E29,'DID List'!$A:$L,10,)))</f>
        <v/>
      </c>
      <c r="N29" s="230" t="str">
        <f>IF($E29=0,"",IF($E29="not included",I29,VLOOKUP($E29,'DID List'!$A:$L,9,)))</f>
        <v/>
      </c>
      <c r="O29" s="63" t="str">
        <f>IF($E29=0,"",IF($E29="not included",J29,VLOOKUP($E29,'DID List'!$A:$L,11,)))</f>
        <v/>
      </c>
      <c r="P29" s="63" t="str">
        <f>IF($E29=0,"",IF($E29="not included",K29,VLOOKUP($E29,'DID List'!$A:$L,12,)))</f>
        <v/>
      </c>
      <c r="Q29" s="63" t="str">
        <f t="shared" si="0"/>
        <v/>
      </c>
      <c r="R29" s="135" t="str">
        <f>IF(B29="","",IF(OR('Ingoing Substances'!H29=Languages!$A$61,'Ingoing Substances'!H29=Languages!$B$61),"Y",IF(OR('Ingoing Substances'!H29=Languages!$A$166,'Ingoing Substances'!H29=Languages!$B$166),"Y","N")))</f>
        <v/>
      </c>
      <c r="S29" s="18"/>
      <c r="T29" s="18"/>
      <c r="U29" s="18"/>
    </row>
    <row r="30" spans="1:21" ht="16" x14ac:dyDescent="0.2">
      <c r="A30" s="37">
        <v>19</v>
      </c>
      <c r="B30" s="320" t="str">
        <f>IF('Ingoing Substances'!B30="","",'Ingoing Substances'!B30)</f>
        <v/>
      </c>
      <c r="C30" s="321" t="str">
        <f>IF('Ingoing Substances'!C30="","",'Ingoing Substances'!C30)</f>
        <v/>
      </c>
      <c r="D30" s="322" t="str">
        <f>IF('Ingoing Substances'!G30="","",'Ingoing Substances'!G30)</f>
        <v/>
      </c>
      <c r="E30" s="6"/>
      <c r="F30" s="62" t="str">
        <f>IF(E30&gt;0,VLOOKUP(E30,'DID List'!A:L,3,FALSE),"   ")</f>
        <v xml:space="preserve">   </v>
      </c>
      <c r="G30" s="120" t="str">
        <f>IF('Ingoing Substances'!I30="","",'Ingoing Substances'!I30)</f>
        <v/>
      </c>
      <c r="H30" s="155"/>
      <c r="I30" s="493"/>
      <c r="J30" s="155"/>
      <c r="K30" s="155"/>
      <c r="L30" s="323"/>
      <c r="M30" s="63" t="str">
        <f>IF($E30=0,"",IF($E30="not included",H30,VLOOKUP($E30,'DID List'!$A:$L,10,)))</f>
        <v/>
      </c>
      <c r="N30" s="230" t="str">
        <f>IF($E30=0,"",IF($E30="not included",I30,VLOOKUP($E30,'DID List'!$A:$L,9,)))</f>
        <v/>
      </c>
      <c r="O30" s="63" t="str">
        <f>IF($E30=0,"",IF($E30="not included",J30,VLOOKUP($E30,'DID List'!$A:$L,11,)))</f>
        <v/>
      </c>
      <c r="P30" s="63" t="str">
        <f>IF($E30=0,"",IF($E30="not included",K30,VLOOKUP($E30,'DID List'!$A:$L,12,)))</f>
        <v/>
      </c>
      <c r="Q30" s="63" t="str">
        <f t="shared" si="0"/>
        <v/>
      </c>
      <c r="R30" s="135" t="str">
        <f>IF(B30="","",IF(OR('Ingoing Substances'!H30=Languages!$A$61,'Ingoing Substances'!H30=Languages!$B$61),"Y",IF(OR('Ingoing Substances'!H30=Languages!$A$166,'Ingoing Substances'!H30=Languages!$B$166),"Y","N")))</f>
        <v/>
      </c>
      <c r="S30" s="18"/>
      <c r="T30" s="18"/>
      <c r="U30" s="18"/>
    </row>
    <row r="31" spans="1:21" ht="16" x14ac:dyDescent="0.2">
      <c r="A31" s="37">
        <v>20</v>
      </c>
      <c r="B31" s="320" t="str">
        <f>IF('Ingoing Substances'!B31="","",'Ingoing Substances'!B31)</f>
        <v/>
      </c>
      <c r="C31" s="321" t="str">
        <f>IF('Ingoing Substances'!C31="","",'Ingoing Substances'!C31)</f>
        <v/>
      </c>
      <c r="D31" s="322" t="str">
        <f>IF('Ingoing Substances'!G31="","",'Ingoing Substances'!G31)</f>
        <v/>
      </c>
      <c r="E31" s="6"/>
      <c r="F31" s="62" t="str">
        <f>IF(E31&gt;0,VLOOKUP(E31,'DID List'!A:L,3,FALSE),"   ")</f>
        <v xml:space="preserve">   </v>
      </c>
      <c r="G31" s="120" t="str">
        <f>IF('Ingoing Substances'!I31="","",'Ingoing Substances'!I31)</f>
        <v/>
      </c>
      <c r="H31" s="155"/>
      <c r="I31" s="493"/>
      <c r="J31" s="155"/>
      <c r="K31" s="155"/>
      <c r="L31" s="323"/>
      <c r="M31" s="63" t="str">
        <f>IF($E31=0,"",IF($E31="not included",H31,VLOOKUP($E31,'DID List'!$A:$L,10,)))</f>
        <v/>
      </c>
      <c r="N31" s="230" t="str">
        <f>IF($E31=0,"",IF($E31="not included",I31,VLOOKUP($E31,'DID List'!$A:$L,9,)))</f>
        <v/>
      </c>
      <c r="O31" s="63" t="str">
        <f>IF($E31=0,"",IF($E31="not included",J31,VLOOKUP($E31,'DID List'!$A:$L,11,)))</f>
        <v/>
      </c>
      <c r="P31" s="63" t="str">
        <f>IF($E31=0,"",IF($E31="not included",K31,VLOOKUP($E31,'DID List'!$A:$L,12,)))</f>
        <v/>
      </c>
      <c r="Q31" s="63" t="str">
        <f t="shared" si="0"/>
        <v/>
      </c>
      <c r="R31" s="135" t="str">
        <f>IF(B31="","",IF(OR('Ingoing Substances'!H31=Languages!$A$61,'Ingoing Substances'!H31=Languages!$B$61),"Y",IF(OR('Ingoing Substances'!H31=Languages!$A$166,'Ingoing Substances'!H31=Languages!$B$166),"Y","N")))</f>
        <v/>
      </c>
      <c r="S31" s="18"/>
      <c r="T31" s="18"/>
      <c r="U31" s="18"/>
    </row>
    <row r="32" spans="1:21" ht="16" x14ac:dyDescent="0.2">
      <c r="A32" s="37">
        <v>21</v>
      </c>
      <c r="B32" s="320" t="str">
        <f>IF('Ingoing Substances'!B32="","",'Ingoing Substances'!B32)</f>
        <v/>
      </c>
      <c r="C32" s="321" t="str">
        <f>IF('Ingoing Substances'!C32="","",'Ingoing Substances'!C32)</f>
        <v/>
      </c>
      <c r="D32" s="322" t="str">
        <f>IF('Ingoing Substances'!G32="","",'Ingoing Substances'!G32)</f>
        <v/>
      </c>
      <c r="E32" s="6"/>
      <c r="F32" s="62" t="str">
        <f>IF(E32&gt;0,VLOOKUP(E32,'DID List'!A:L,3,FALSE),"   ")</f>
        <v xml:space="preserve">   </v>
      </c>
      <c r="G32" s="120" t="str">
        <f>IF('Ingoing Substances'!I32="","",'Ingoing Substances'!I32)</f>
        <v/>
      </c>
      <c r="H32" s="155"/>
      <c r="I32" s="493"/>
      <c r="J32" s="155"/>
      <c r="K32" s="155"/>
      <c r="L32" s="323"/>
      <c r="M32" s="63" t="str">
        <f>IF($E32=0,"",IF($E32="not included",H32,VLOOKUP($E32,'DID List'!$A:$L,10,)))</f>
        <v/>
      </c>
      <c r="N32" s="230" t="str">
        <f>IF($E32=0,"",IF($E32="not included",I32,VLOOKUP($E32,'DID List'!$A:$L,9,)))</f>
        <v/>
      </c>
      <c r="O32" s="63" t="str">
        <f>IF($E32=0,"",IF($E32="not included",J32,VLOOKUP($E32,'DID List'!$A:$L,11,)))</f>
        <v/>
      </c>
      <c r="P32" s="63" t="str">
        <f>IF($E32=0,"",IF($E32="not included",K32,VLOOKUP($E32,'DID List'!$A:$L,12,)))</f>
        <v/>
      </c>
      <c r="Q32" s="63" t="str">
        <f t="shared" si="0"/>
        <v/>
      </c>
      <c r="R32" s="135" t="str">
        <f>IF(B32="","",IF(OR('Ingoing Substances'!H32=Languages!$A$61,'Ingoing Substances'!H32=Languages!$B$61),"Y",IF(OR('Ingoing Substances'!H32=Languages!$A$166,'Ingoing Substances'!H32=Languages!$B$166),"Y","N")))</f>
        <v/>
      </c>
      <c r="S32" s="18"/>
      <c r="T32" s="18"/>
      <c r="U32" s="18"/>
    </row>
    <row r="33" spans="1:21" ht="16" x14ac:dyDescent="0.2">
      <c r="A33" s="37">
        <v>22</v>
      </c>
      <c r="B33" s="320" t="str">
        <f>IF('Ingoing Substances'!B33="","",'Ingoing Substances'!B33)</f>
        <v/>
      </c>
      <c r="C33" s="321" t="str">
        <f>IF('Ingoing Substances'!C33="","",'Ingoing Substances'!C33)</f>
        <v/>
      </c>
      <c r="D33" s="322" t="str">
        <f>IF('Ingoing Substances'!G33="","",'Ingoing Substances'!G33)</f>
        <v/>
      </c>
      <c r="E33" s="6"/>
      <c r="F33" s="62" t="str">
        <f>IF(E33&gt;0,VLOOKUP(E33,'DID List'!A:L,3,FALSE),"   ")</f>
        <v xml:space="preserve">   </v>
      </c>
      <c r="G33" s="120" t="str">
        <f>IF('Ingoing Substances'!I33="","",'Ingoing Substances'!I33)</f>
        <v/>
      </c>
      <c r="H33" s="155"/>
      <c r="I33" s="493"/>
      <c r="J33" s="155"/>
      <c r="K33" s="155"/>
      <c r="L33" s="323"/>
      <c r="M33" s="63" t="str">
        <f>IF($E33=0,"",IF($E33="not included",H33,VLOOKUP($E33,'DID List'!$A:$L,10,)))</f>
        <v/>
      </c>
      <c r="N33" s="230" t="str">
        <f>IF($E33=0,"",IF($E33="not included",I33,VLOOKUP($E33,'DID List'!$A:$L,9,)))</f>
        <v/>
      </c>
      <c r="O33" s="63" t="str">
        <f>IF($E33=0,"",IF($E33="not included",J33,VLOOKUP($E33,'DID List'!$A:$L,11,)))</f>
        <v/>
      </c>
      <c r="P33" s="63" t="str">
        <f>IF($E33=0,"",IF($E33="not included",K33,VLOOKUP($E33,'DID List'!$A:$L,12,)))</f>
        <v/>
      </c>
      <c r="Q33" s="63" t="str">
        <f t="shared" si="0"/>
        <v/>
      </c>
      <c r="R33" s="135" t="str">
        <f>IF(B33="","",IF(OR('Ingoing Substances'!H33=Languages!$A$61,'Ingoing Substances'!H33=Languages!$B$61),"Y",IF(OR('Ingoing Substances'!H33=Languages!$A$166,'Ingoing Substances'!H33=Languages!$B$166),"Y","N")))</f>
        <v/>
      </c>
      <c r="S33" s="18"/>
      <c r="T33" s="18"/>
      <c r="U33" s="18"/>
    </row>
    <row r="34" spans="1:21" ht="16" x14ac:dyDescent="0.2">
      <c r="A34" s="37">
        <v>23</v>
      </c>
      <c r="B34" s="320" t="str">
        <f>IF('Ingoing Substances'!B34="","",'Ingoing Substances'!B34)</f>
        <v/>
      </c>
      <c r="C34" s="321" t="str">
        <f>IF('Ingoing Substances'!C34="","",'Ingoing Substances'!C34)</f>
        <v/>
      </c>
      <c r="D34" s="322" t="str">
        <f>IF('Ingoing Substances'!G34="","",'Ingoing Substances'!G34)</f>
        <v/>
      </c>
      <c r="E34" s="6"/>
      <c r="F34" s="62" t="str">
        <f>IF(E34&gt;0,VLOOKUP(E34,'DID List'!A:L,3,FALSE),"   ")</f>
        <v xml:space="preserve">   </v>
      </c>
      <c r="G34" s="120" t="str">
        <f>IF('Ingoing Substances'!I34="","",'Ingoing Substances'!I34)</f>
        <v/>
      </c>
      <c r="H34" s="155"/>
      <c r="I34" s="493"/>
      <c r="J34" s="155"/>
      <c r="K34" s="155"/>
      <c r="L34" s="323"/>
      <c r="M34" s="63" t="str">
        <f>IF($E34=0,"",IF($E34="not included",H34,VLOOKUP($E34,'DID List'!$A:$L,10,)))</f>
        <v/>
      </c>
      <c r="N34" s="230" t="str">
        <f>IF($E34=0,"",IF($E34="not included",I34,VLOOKUP($E34,'DID List'!$A:$L,9,)))</f>
        <v/>
      </c>
      <c r="O34" s="63" t="str">
        <f>IF($E34=0,"",IF($E34="not included",J34,VLOOKUP($E34,'DID List'!$A:$L,11,)))</f>
        <v/>
      </c>
      <c r="P34" s="63" t="str">
        <f>IF($E34=0,"",IF($E34="not included",K34,VLOOKUP($E34,'DID List'!$A:$L,12,)))</f>
        <v/>
      </c>
      <c r="Q34" s="63" t="str">
        <f t="shared" si="0"/>
        <v/>
      </c>
      <c r="R34" s="135" t="str">
        <f>IF(B34="","",IF(OR('Ingoing Substances'!H34=Languages!$A$61,'Ingoing Substances'!H34=Languages!$B$61),"Y",IF(OR('Ingoing Substances'!H34=Languages!$A$166,'Ingoing Substances'!H34=Languages!$B$166),"Y","N")))</f>
        <v/>
      </c>
      <c r="S34" s="18"/>
      <c r="T34" s="18"/>
      <c r="U34" s="18"/>
    </row>
    <row r="35" spans="1:21" ht="16" x14ac:dyDescent="0.2">
      <c r="A35" s="37">
        <v>24</v>
      </c>
      <c r="B35" s="320" t="str">
        <f>IF('Ingoing Substances'!B35="","",'Ingoing Substances'!B35)</f>
        <v/>
      </c>
      <c r="C35" s="321" t="str">
        <f>IF('Ingoing Substances'!C35="","",'Ingoing Substances'!C35)</f>
        <v/>
      </c>
      <c r="D35" s="322" t="str">
        <f>IF('Ingoing Substances'!G35="","",'Ingoing Substances'!G35)</f>
        <v/>
      </c>
      <c r="E35" s="6"/>
      <c r="F35" s="62" t="str">
        <f>IF(E35&gt;0,VLOOKUP(E35,'DID List'!A:L,3,FALSE),"   ")</f>
        <v xml:space="preserve">   </v>
      </c>
      <c r="G35" s="120" t="str">
        <f>IF('Ingoing Substances'!I35="","",'Ingoing Substances'!I35)</f>
        <v/>
      </c>
      <c r="H35" s="155"/>
      <c r="I35" s="493"/>
      <c r="J35" s="155"/>
      <c r="K35" s="155"/>
      <c r="L35" s="323"/>
      <c r="M35" s="63" t="str">
        <f>IF($E35=0,"",IF($E35="not included",H35,VLOOKUP($E35,'DID List'!$A:$L,10,)))</f>
        <v/>
      </c>
      <c r="N35" s="230" t="str">
        <f>IF($E35=0,"",IF($E35="not included",I35,VLOOKUP($E35,'DID List'!$A:$L,9,)))</f>
        <v/>
      </c>
      <c r="O35" s="63" t="str">
        <f>IF($E35=0,"",IF($E35="not included",J35,VLOOKUP($E35,'DID List'!$A:$L,11,)))</f>
        <v/>
      </c>
      <c r="P35" s="63" t="str">
        <f>IF($E35=0,"",IF($E35="not included",K35,VLOOKUP($E35,'DID List'!$A:$L,12,)))</f>
        <v/>
      </c>
      <c r="Q35" s="63" t="str">
        <f t="shared" si="0"/>
        <v/>
      </c>
      <c r="R35" s="135" t="str">
        <f>IF(B35="","",IF(OR('Ingoing Substances'!H35=Languages!$A$61,'Ingoing Substances'!H35=Languages!$B$61),"Y",IF(OR('Ingoing Substances'!H35=Languages!$A$166,'Ingoing Substances'!H35=Languages!$B$166),"Y","N")))</f>
        <v/>
      </c>
      <c r="S35" s="18"/>
      <c r="T35" s="18"/>
      <c r="U35" s="18"/>
    </row>
    <row r="36" spans="1:21" ht="16" x14ac:dyDescent="0.2">
      <c r="A36" s="37">
        <v>25</v>
      </c>
      <c r="B36" s="320" t="str">
        <f>IF('Ingoing Substances'!B36="","",'Ingoing Substances'!B36)</f>
        <v/>
      </c>
      <c r="C36" s="321" t="str">
        <f>IF('Ingoing Substances'!C36="","",'Ingoing Substances'!C36)</f>
        <v/>
      </c>
      <c r="D36" s="322" t="str">
        <f>IF('Ingoing Substances'!G36="","",'Ingoing Substances'!G36)</f>
        <v/>
      </c>
      <c r="E36" s="6"/>
      <c r="F36" s="62" t="str">
        <f>IF(E36&gt;0,VLOOKUP(E36,'DID List'!A:L,3,FALSE),"   ")</f>
        <v xml:space="preserve">   </v>
      </c>
      <c r="G36" s="120" t="str">
        <f>IF('Ingoing Substances'!I36="","",'Ingoing Substances'!I36)</f>
        <v/>
      </c>
      <c r="H36" s="155"/>
      <c r="I36" s="493"/>
      <c r="J36" s="155"/>
      <c r="K36" s="155"/>
      <c r="L36" s="323"/>
      <c r="M36" s="63" t="str">
        <f>IF($E36=0,"",IF($E36="not included",H36,VLOOKUP($E36,'DID List'!$A:$L,10,)))</f>
        <v/>
      </c>
      <c r="N36" s="230" t="str">
        <f>IF($E36=0,"",IF($E36="not included",I36,VLOOKUP($E36,'DID List'!$A:$L,9,)))</f>
        <v/>
      </c>
      <c r="O36" s="63" t="str">
        <f>IF($E36=0,"",IF($E36="not included",J36,VLOOKUP($E36,'DID List'!$A:$L,11,)))</f>
        <v/>
      </c>
      <c r="P36" s="63" t="str">
        <f>IF($E36=0,"",IF($E36="not included",K36,VLOOKUP($E36,'DID List'!$A:$L,12,)))</f>
        <v/>
      </c>
      <c r="Q36" s="63" t="str">
        <f t="shared" si="0"/>
        <v/>
      </c>
      <c r="R36" s="135" t="str">
        <f>IF(B36="","",IF(OR('Ingoing Substances'!H36=Languages!$A$61,'Ingoing Substances'!H36=Languages!$B$61),"Y",IF(OR('Ingoing Substances'!H36=Languages!$A$166,'Ingoing Substances'!H36=Languages!$B$166),"Y","N")))</f>
        <v/>
      </c>
      <c r="S36" s="18"/>
      <c r="T36" s="18"/>
      <c r="U36" s="18"/>
    </row>
    <row r="37" spans="1:21" ht="16" x14ac:dyDescent="0.2">
      <c r="A37" s="37">
        <v>26</v>
      </c>
      <c r="B37" s="320" t="str">
        <f>IF('Ingoing Substances'!B37="","",'Ingoing Substances'!B37)</f>
        <v/>
      </c>
      <c r="C37" s="321" t="str">
        <f>IF('Ingoing Substances'!C37="","",'Ingoing Substances'!C37)</f>
        <v/>
      </c>
      <c r="D37" s="322" t="str">
        <f>IF('Ingoing Substances'!G37="","",'Ingoing Substances'!G37)</f>
        <v/>
      </c>
      <c r="E37" s="6"/>
      <c r="F37" s="62" t="str">
        <f>IF(E37&gt;0,VLOOKUP(E37,'DID List'!A:L,3,FALSE),"   ")</f>
        <v xml:space="preserve">   </v>
      </c>
      <c r="G37" s="120" t="str">
        <f>IF('Ingoing Substances'!I37="","",'Ingoing Substances'!I37)</f>
        <v/>
      </c>
      <c r="H37" s="155"/>
      <c r="I37" s="493"/>
      <c r="J37" s="155"/>
      <c r="K37" s="155"/>
      <c r="L37" s="323"/>
      <c r="M37" s="63" t="str">
        <f>IF($E37=0,"",IF($E37="not included",H37,VLOOKUP($E37,'DID List'!$A:$L,10,)))</f>
        <v/>
      </c>
      <c r="N37" s="230" t="str">
        <f>IF($E37=0,"",IF($E37="not included",I37,VLOOKUP($E37,'DID List'!$A:$L,9,)))</f>
        <v/>
      </c>
      <c r="O37" s="63" t="str">
        <f>IF($E37=0,"",IF($E37="not included",J37,VLOOKUP($E37,'DID List'!$A:$L,11,)))</f>
        <v/>
      </c>
      <c r="P37" s="63" t="str">
        <f>IF($E37=0,"",IF($E37="not included",K37,VLOOKUP($E37,'DID List'!$A:$L,12,)))</f>
        <v/>
      </c>
      <c r="Q37" s="63" t="str">
        <f t="shared" si="0"/>
        <v/>
      </c>
      <c r="R37" s="135" t="str">
        <f>IF(B37="","",IF(OR('Ingoing Substances'!H37=Languages!$A$61,'Ingoing Substances'!H37=Languages!$B$61),"Y",IF(OR('Ingoing Substances'!H37=Languages!$A$166,'Ingoing Substances'!H37=Languages!$B$166),"Y","N")))</f>
        <v/>
      </c>
      <c r="S37" s="18"/>
      <c r="T37" s="18"/>
      <c r="U37" s="18"/>
    </row>
    <row r="38" spans="1:21" ht="16" x14ac:dyDescent="0.2">
      <c r="A38" s="37">
        <v>27</v>
      </c>
      <c r="B38" s="320" t="str">
        <f>IF('Ingoing Substances'!B38="","",'Ingoing Substances'!B38)</f>
        <v/>
      </c>
      <c r="C38" s="321" t="str">
        <f>IF('Ingoing Substances'!C38="","",'Ingoing Substances'!C38)</f>
        <v/>
      </c>
      <c r="D38" s="322" t="str">
        <f>IF('Ingoing Substances'!G38="","",'Ingoing Substances'!G38)</f>
        <v/>
      </c>
      <c r="E38" s="6"/>
      <c r="F38" s="62" t="str">
        <f>IF(E38&gt;0,VLOOKUP(E38,'DID List'!A:L,3,FALSE),"   ")</f>
        <v xml:space="preserve">   </v>
      </c>
      <c r="G38" s="120" t="str">
        <f>IF('Ingoing Substances'!I38="","",'Ingoing Substances'!I38)</f>
        <v/>
      </c>
      <c r="H38" s="155"/>
      <c r="I38" s="493"/>
      <c r="J38" s="155"/>
      <c r="K38" s="155"/>
      <c r="L38" s="323"/>
      <c r="M38" s="63" t="str">
        <f>IF($E38=0,"",IF($E38="not included",H38,VLOOKUP($E38,'DID List'!$A:$L,10,)))</f>
        <v/>
      </c>
      <c r="N38" s="230" t="str">
        <f>IF($E38=0,"",IF($E38="not included",I38,VLOOKUP($E38,'DID List'!$A:$L,9,)))</f>
        <v/>
      </c>
      <c r="O38" s="63" t="str">
        <f>IF($E38=0,"",IF($E38="not included",J38,VLOOKUP($E38,'DID List'!$A:$L,11,)))</f>
        <v/>
      </c>
      <c r="P38" s="63" t="str">
        <f>IF($E38=0,"",IF($E38="not included",K38,VLOOKUP($E38,'DID List'!$A:$L,12,)))</f>
        <v/>
      </c>
      <c r="Q38" s="63" t="str">
        <f t="shared" si="0"/>
        <v/>
      </c>
      <c r="R38" s="135" t="str">
        <f>IF(B38="","",IF(OR('Ingoing Substances'!H38=Languages!$A$61,'Ingoing Substances'!H38=Languages!$B$61),"Y",IF(OR('Ingoing Substances'!H38=Languages!$A$166,'Ingoing Substances'!H38=Languages!$B$166),"Y","N")))</f>
        <v/>
      </c>
      <c r="S38" s="18"/>
      <c r="T38" s="18"/>
      <c r="U38" s="18"/>
    </row>
    <row r="39" spans="1:21" ht="16" x14ac:dyDescent="0.2">
      <c r="A39" s="37">
        <v>28</v>
      </c>
      <c r="B39" s="320" t="str">
        <f>IF('Ingoing Substances'!B39="","",'Ingoing Substances'!B39)</f>
        <v/>
      </c>
      <c r="C39" s="321" t="str">
        <f>IF('Ingoing Substances'!C39="","",'Ingoing Substances'!C39)</f>
        <v/>
      </c>
      <c r="D39" s="322" t="str">
        <f>IF('Ingoing Substances'!G39="","",'Ingoing Substances'!G39)</f>
        <v/>
      </c>
      <c r="E39" s="6"/>
      <c r="F39" s="62" t="str">
        <f>IF(E39&gt;0,VLOOKUP(E39,'DID List'!A:L,3,FALSE),"   ")</f>
        <v xml:space="preserve">   </v>
      </c>
      <c r="G39" s="120" t="str">
        <f>IF('Ingoing Substances'!I39="","",'Ingoing Substances'!I39)</f>
        <v/>
      </c>
      <c r="H39" s="155"/>
      <c r="I39" s="493"/>
      <c r="J39" s="155"/>
      <c r="K39" s="155"/>
      <c r="L39" s="323"/>
      <c r="M39" s="63" t="str">
        <f>IF($E39=0,"",IF($E39="not included",H39,VLOOKUP($E39,'DID List'!$A:$L,10,)))</f>
        <v/>
      </c>
      <c r="N39" s="230" t="str">
        <f>IF($E39=0,"",IF($E39="not included",I39,VLOOKUP($E39,'DID List'!$A:$L,9,)))</f>
        <v/>
      </c>
      <c r="O39" s="63" t="str">
        <f>IF($E39=0,"",IF($E39="not included",J39,VLOOKUP($E39,'DID List'!$A:$L,11,)))</f>
        <v/>
      </c>
      <c r="P39" s="63" t="str">
        <f>IF($E39=0,"",IF($E39="not included",K39,VLOOKUP($E39,'DID List'!$A:$L,12,)))</f>
        <v/>
      </c>
      <c r="Q39" s="63" t="str">
        <f t="shared" si="0"/>
        <v/>
      </c>
      <c r="R39" s="135" t="str">
        <f>IF(B39="","",IF(OR('Ingoing Substances'!H39=Languages!$A$61,'Ingoing Substances'!H39=Languages!$B$61),"Y",IF(OR('Ingoing Substances'!H39=Languages!$A$166,'Ingoing Substances'!H39=Languages!$B$166),"Y","N")))</f>
        <v/>
      </c>
      <c r="S39" s="18"/>
      <c r="T39" s="18"/>
      <c r="U39" s="18"/>
    </row>
    <row r="40" spans="1:21" ht="16" x14ac:dyDescent="0.2">
      <c r="A40" s="37">
        <v>29</v>
      </c>
      <c r="B40" s="320" t="str">
        <f>IF('Ingoing Substances'!B40="","",'Ingoing Substances'!B40)</f>
        <v/>
      </c>
      <c r="C40" s="321" t="str">
        <f>IF('Ingoing Substances'!C40="","",'Ingoing Substances'!C40)</f>
        <v/>
      </c>
      <c r="D40" s="322" t="str">
        <f>IF('Ingoing Substances'!G40="","",'Ingoing Substances'!G40)</f>
        <v/>
      </c>
      <c r="E40" s="6"/>
      <c r="F40" s="62" t="str">
        <f>IF(E40&gt;0,VLOOKUP(E40,'DID List'!A:L,3,FALSE),"   ")</f>
        <v xml:space="preserve">   </v>
      </c>
      <c r="G40" s="120" t="str">
        <f>IF('Ingoing Substances'!I40="","",'Ingoing Substances'!I40)</f>
        <v/>
      </c>
      <c r="H40" s="155"/>
      <c r="I40" s="493"/>
      <c r="J40" s="155"/>
      <c r="K40" s="155"/>
      <c r="L40" s="323"/>
      <c r="M40" s="63" t="str">
        <f>IF($E40=0,"",IF($E40="not included",H40,VLOOKUP($E40,'DID List'!$A:$L,10,)))</f>
        <v/>
      </c>
      <c r="N40" s="230" t="str">
        <f>IF($E40=0,"",IF($E40="not included",I40,VLOOKUP($E40,'DID List'!$A:$L,9,)))</f>
        <v/>
      </c>
      <c r="O40" s="63" t="str">
        <f>IF($E40=0,"",IF($E40="not included",J40,VLOOKUP($E40,'DID List'!$A:$L,11,)))</f>
        <v/>
      </c>
      <c r="P40" s="63" t="str">
        <f>IF($E40=0,"",IF($E40="not included",K40,VLOOKUP($E40,'DID List'!$A:$L,12,)))</f>
        <v/>
      </c>
      <c r="Q40" s="63" t="str">
        <f t="shared" si="0"/>
        <v/>
      </c>
      <c r="R40" s="135" t="str">
        <f>IF(B40="","",IF(OR('Ingoing Substances'!H40=Languages!$A$61,'Ingoing Substances'!H40=Languages!$B$61),"Y",IF(OR('Ingoing Substances'!H40=Languages!$A$166,'Ingoing Substances'!H40=Languages!$B$166),"Y","N")))</f>
        <v/>
      </c>
      <c r="S40" s="18"/>
      <c r="T40" s="18"/>
      <c r="U40" s="18"/>
    </row>
    <row r="41" spans="1:21" ht="16" x14ac:dyDescent="0.2">
      <c r="A41" s="37">
        <v>30</v>
      </c>
      <c r="B41" s="320" t="str">
        <f>IF('Ingoing Substances'!B41="","",'Ingoing Substances'!B41)</f>
        <v/>
      </c>
      <c r="C41" s="321" t="str">
        <f>IF('Ingoing Substances'!C41="","",'Ingoing Substances'!C41)</f>
        <v/>
      </c>
      <c r="D41" s="322" t="str">
        <f>IF('Ingoing Substances'!G41="","",'Ingoing Substances'!G41)</f>
        <v/>
      </c>
      <c r="E41" s="6"/>
      <c r="F41" s="62" t="str">
        <f>IF(E41&gt;0,VLOOKUP(E41,'DID List'!A:L,3,FALSE),"   ")</f>
        <v xml:space="preserve">   </v>
      </c>
      <c r="G41" s="120" t="str">
        <f>IF('Ingoing Substances'!I41="","",'Ingoing Substances'!I41)</f>
        <v/>
      </c>
      <c r="H41" s="155"/>
      <c r="I41" s="493"/>
      <c r="J41" s="155"/>
      <c r="K41" s="155"/>
      <c r="L41" s="323"/>
      <c r="M41" s="63" t="str">
        <f>IF($E41=0,"",IF($E41="not included",H41,VLOOKUP($E41,'DID List'!$A:$L,10,)))</f>
        <v/>
      </c>
      <c r="N41" s="230" t="str">
        <f>IF($E41=0,"",IF($E41="not included",I41,VLOOKUP($E41,'DID List'!$A:$L,9,)))</f>
        <v/>
      </c>
      <c r="O41" s="63" t="str">
        <f>IF($E41=0,"",IF($E41="not included",J41,VLOOKUP($E41,'DID List'!$A:$L,11,)))</f>
        <v/>
      </c>
      <c r="P41" s="63" t="str">
        <f>IF($E41=0,"",IF($E41="not included",K41,VLOOKUP($E41,'DID List'!$A:$L,12,)))</f>
        <v/>
      </c>
      <c r="Q41" s="63" t="str">
        <f t="shared" si="0"/>
        <v/>
      </c>
      <c r="R41" s="135" t="str">
        <f>IF(B41="","",IF(OR('Ingoing Substances'!H41=Languages!$A$61,'Ingoing Substances'!H41=Languages!$B$61),"Y",IF(OR('Ingoing Substances'!H41=Languages!$A$166,'Ingoing Substances'!H41=Languages!$B$166),"Y","N")))</f>
        <v/>
      </c>
      <c r="S41" s="18"/>
      <c r="T41" s="18"/>
      <c r="U41" s="18"/>
    </row>
    <row r="42" spans="1:21" ht="16" x14ac:dyDescent="0.2">
      <c r="A42" s="37">
        <v>31</v>
      </c>
      <c r="B42" s="320" t="str">
        <f>IF('Ingoing Substances'!B42="","",'Ingoing Substances'!B42)</f>
        <v/>
      </c>
      <c r="C42" s="321" t="str">
        <f>IF('Ingoing Substances'!C42="","",'Ingoing Substances'!C42)</f>
        <v/>
      </c>
      <c r="D42" s="322" t="str">
        <f>IF('Ingoing Substances'!G42="","",'Ingoing Substances'!G42)</f>
        <v/>
      </c>
      <c r="E42" s="6"/>
      <c r="F42" s="62" t="str">
        <f>IF(E42&gt;0,VLOOKUP(E42,'DID List'!A:L,3,FALSE),"   ")</f>
        <v xml:space="preserve">   </v>
      </c>
      <c r="G42" s="120" t="str">
        <f>IF('Ingoing Substances'!I42="","",'Ingoing Substances'!I42)</f>
        <v/>
      </c>
      <c r="H42" s="155"/>
      <c r="I42" s="493"/>
      <c r="J42" s="155"/>
      <c r="K42" s="155"/>
      <c r="L42" s="323"/>
      <c r="M42" s="63" t="str">
        <f>IF($E42=0,"",IF($E42="not included",H42,VLOOKUP($E42,'DID List'!$A:$L,10,)))</f>
        <v/>
      </c>
      <c r="N42" s="230" t="str">
        <f>IF($E42=0,"",IF($E42="not included",I42,VLOOKUP($E42,'DID List'!$A:$L,9,)))</f>
        <v/>
      </c>
      <c r="O42" s="63" t="str">
        <f>IF($E42=0,"",IF($E42="not included",J42,VLOOKUP($E42,'DID List'!$A:$L,11,)))</f>
        <v/>
      </c>
      <c r="P42" s="63" t="str">
        <f>IF($E42=0,"",IF($E42="not included",K42,VLOOKUP($E42,'DID List'!$A:$L,12,)))</f>
        <v/>
      </c>
      <c r="Q42" s="63" t="str">
        <f t="shared" si="0"/>
        <v/>
      </c>
      <c r="R42" s="135" t="str">
        <f>IF(B42="","",IF(OR('Ingoing Substances'!H42=Languages!$A$61,'Ingoing Substances'!H42=Languages!$B$61),"Y",IF(OR('Ingoing Substances'!H42=Languages!$A$166,'Ingoing Substances'!H42=Languages!$B$166),"Y","N")))</f>
        <v/>
      </c>
      <c r="S42" s="18"/>
      <c r="T42" s="18"/>
      <c r="U42" s="18"/>
    </row>
    <row r="43" spans="1:21" ht="16" x14ac:dyDescent="0.2">
      <c r="A43" s="37">
        <v>32</v>
      </c>
      <c r="B43" s="320" t="str">
        <f>IF('Ingoing Substances'!B43="","",'Ingoing Substances'!B43)</f>
        <v/>
      </c>
      <c r="C43" s="321" t="str">
        <f>IF('Ingoing Substances'!C43="","",'Ingoing Substances'!C43)</f>
        <v/>
      </c>
      <c r="D43" s="322" t="str">
        <f>IF('Ingoing Substances'!G43="","",'Ingoing Substances'!G43)</f>
        <v/>
      </c>
      <c r="E43" s="6"/>
      <c r="F43" s="62" t="str">
        <f>IF(E43&gt;0,VLOOKUP(E43,'DID List'!A:L,3,FALSE),"   ")</f>
        <v xml:space="preserve">   </v>
      </c>
      <c r="G43" s="120" t="str">
        <f>IF('Ingoing Substances'!I43="","",'Ingoing Substances'!I43)</f>
        <v/>
      </c>
      <c r="H43" s="155"/>
      <c r="I43" s="493"/>
      <c r="J43" s="155"/>
      <c r="K43" s="155"/>
      <c r="L43" s="323"/>
      <c r="M43" s="63" t="str">
        <f>IF($E43=0,"",IF($E43="not included",H43,VLOOKUP($E43,'DID List'!$A:$L,10,)))</f>
        <v/>
      </c>
      <c r="N43" s="230" t="str">
        <f>IF($E43=0,"",IF($E43="not included",I43,VLOOKUP($E43,'DID List'!$A:$L,9,)))</f>
        <v/>
      </c>
      <c r="O43" s="63" t="str">
        <f>IF($E43=0,"",IF($E43="not included",J43,VLOOKUP($E43,'DID List'!$A:$L,11,)))</f>
        <v/>
      </c>
      <c r="P43" s="63" t="str">
        <f>IF($E43=0,"",IF($E43="not included",K43,VLOOKUP($E43,'DID List'!$A:$L,12,)))</f>
        <v/>
      </c>
      <c r="Q43" s="63" t="str">
        <f t="shared" si="0"/>
        <v/>
      </c>
      <c r="R43" s="135" t="str">
        <f>IF(B43="","",IF(OR('Ingoing Substances'!H43=Languages!$A$61,'Ingoing Substances'!H43=Languages!$B$61),"Y",IF(OR('Ingoing Substances'!H43=Languages!$A$166,'Ingoing Substances'!H43=Languages!$B$166),"Y","N")))</f>
        <v/>
      </c>
      <c r="S43" s="18"/>
      <c r="T43" s="18"/>
      <c r="U43" s="18"/>
    </row>
    <row r="44" spans="1:21" ht="16" x14ac:dyDescent="0.2">
      <c r="A44" s="37">
        <v>33</v>
      </c>
      <c r="B44" s="320" t="str">
        <f>IF('Ingoing Substances'!B44="","",'Ingoing Substances'!B44)</f>
        <v/>
      </c>
      <c r="C44" s="321" t="str">
        <f>IF('Ingoing Substances'!C44="","",'Ingoing Substances'!C44)</f>
        <v/>
      </c>
      <c r="D44" s="322" t="str">
        <f>IF('Ingoing Substances'!G44="","",'Ingoing Substances'!G44)</f>
        <v/>
      </c>
      <c r="E44" s="6"/>
      <c r="F44" s="62" t="str">
        <f>IF(E44&gt;0,VLOOKUP(E44,'DID List'!A:L,3,FALSE),"   ")</f>
        <v xml:space="preserve">   </v>
      </c>
      <c r="G44" s="120" t="str">
        <f>IF('Ingoing Substances'!I44="","",'Ingoing Substances'!I44)</f>
        <v/>
      </c>
      <c r="H44" s="155"/>
      <c r="I44" s="493"/>
      <c r="J44" s="155"/>
      <c r="K44" s="155"/>
      <c r="L44" s="323"/>
      <c r="M44" s="63" t="str">
        <f>IF($E44=0,"",IF($E44="not included",H44,VLOOKUP($E44,'DID List'!$A:$L,10,)))</f>
        <v/>
      </c>
      <c r="N44" s="230" t="str">
        <f>IF($E44=0,"",IF($E44="not included",I44,VLOOKUP($E44,'DID List'!$A:$L,9,)))</f>
        <v/>
      </c>
      <c r="O44" s="63" t="str">
        <f>IF($E44=0,"",IF($E44="not included",J44,VLOOKUP($E44,'DID List'!$A:$L,11,)))</f>
        <v/>
      </c>
      <c r="P44" s="63" t="str">
        <f>IF($E44=0,"",IF($E44="not included",K44,VLOOKUP($E44,'DID List'!$A:$L,12,)))</f>
        <v/>
      </c>
      <c r="Q44" s="63" t="str">
        <f t="shared" si="0"/>
        <v/>
      </c>
      <c r="R44" s="135" t="str">
        <f>IF(B44="","",IF(OR('Ingoing Substances'!H44=Languages!$A$61,'Ingoing Substances'!H44=Languages!$B$61),"Y",IF(OR('Ingoing Substances'!H44=Languages!$A$166,'Ingoing Substances'!H44=Languages!$B$166),"Y","N")))</f>
        <v/>
      </c>
      <c r="S44" s="18"/>
      <c r="T44" s="18"/>
      <c r="U44" s="18"/>
    </row>
    <row r="45" spans="1:21" ht="16" x14ac:dyDescent="0.2">
      <c r="A45" s="37">
        <v>34</v>
      </c>
      <c r="B45" s="320" t="str">
        <f>IF('Ingoing Substances'!B45="","",'Ingoing Substances'!B45)</f>
        <v/>
      </c>
      <c r="C45" s="321" t="str">
        <f>IF('Ingoing Substances'!C45="","",'Ingoing Substances'!C45)</f>
        <v/>
      </c>
      <c r="D45" s="322" t="str">
        <f>IF('Ingoing Substances'!G45="","",'Ingoing Substances'!G45)</f>
        <v/>
      </c>
      <c r="E45" s="6"/>
      <c r="F45" s="62" t="str">
        <f>IF(E45&gt;0,VLOOKUP(E45,'DID List'!A:L,3,FALSE),"   ")</f>
        <v xml:space="preserve">   </v>
      </c>
      <c r="G45" s="120" t="str">
        <f>IF('Ingoing Substances'!I45="","",'Ingoing Substances'!I45)</f>
        <v/>
      </c>
      <c r="H45" s="155"/>
      <c r="I45" s="493"/>
      <c r="J45" s="155"/>
      <c r="K45" s="155"/>
      <c r="L45" s="323"/>
      <c r="M45" s="63" t="str">
        <f>IF($E45=0,"",IF($E45="not included",H45,VLOOKUP($E45,'DID List'!$A:$L,10,)))</f>
        <v/>
      </c>
      <c r="N45" s="230" t="str">
        <f>IF($E45=0,"",IF($E45="not included",I45,VLOOKUP($E45,'DID List'!$A:$L,9,)))</f>
        <v/>
      </c>
      <c r="O45" s="63" t="str">
        <f>IF($E45=0,"",IF($E45="not included",J45,VLOOKUP($E45,'DID List'!$A:$L,11,)))</f>
        <v/>
      </c>
      <c r="P45" s="63" t="str">
        <f>IF($E45=0,"",IF($E45="not included",K45,VLOOKUP($E45,'DID List'!$A:$L,12,)))</f>
        <v/>
      </c>
      <c r="Q45" s="63" t="str">
        <f t="shared" si="0"/>
        <v/>
      </c>
      <c r="R45" s="135" t="str">
        <f>IF(B45="","",IF(OR('Ingoing Substances'!H45=Languages!$A$61,'Ingoing Substances'!H45=Languages!$B$61),"Y",IF(OR('Ingoing Substances'!H45=Languages!$A$166,'Ingoing Substances'!H45=Languages!$B$166),"Y","N")))</f>
        <v/>
      </c>
      <c r="S45" s="18"/>
      <c r="T45" s="18"/>
      <c r="U45" s="18"/>
    </row>
    <row r="46" spans="1:21" ht="16" x14ac:dyDescent="0.2">
      <c r="A46" s="37">
        <v>35</v>
      </c>
      <c r="B46" s="320" t="str">
        <f>IF('Ingoing Substances'!B46="","",'Ingoing Substances'!B46)</f>
        <v/>
      </c>
      <c r="C46" s="321" t="str">
        <f>IF('Ingoing Substances'!C46="","",'Ingoing Substances'!C46)</f>
        <v/>
      </c>
      <c r="D46" s="322" t="str">
        <f>IF('Ingoing Substances'!G46="","",'Ingoing Substances'!G46)</f>
        <v/>
      </c>
      <c r="E46" s="6"/>
      <c r="F46" s="62" t="str">
        <f>IF(E46&gt;0,VLOOKUP(E46,'DID List'!A:L,3,FALSE),"   ")</f>
        <v xml:space="preserve">   </v>
      </c>
      <c r="G46" s="120" t="str">
        <f>IF('Ingoing Substances'!I46="","",'Ingoing Substances'!I46)</f>
        <v/>
      </c>
      <c r="H46" s="155"/>
      <c r="I46" s="493"/>
      <c r="J46" s="155"/>
      <c r="K46" s="155"/>
      <c r="L46" s="323"/>
      <c r="M46" s="63" t="str">
        <f>IF($E46=0,"",IF($E46="not included",H46,VLOOKUP($E46,'DID List'!$A:$L,10,)))</f>
        <v/>
      </c>
      <c r="N46" s="230" t="str">
        <f>IF($E46=0,"",IF($E46="not included",I46,VLOOKUP($E46,'DID List'!$A:$L,9,)))</f>
        <v/>
      </c>
      <c r="O46" s="63" t="str">
        <f>IF($E46=0,"",IF($E46="not included",J46,VLOOKUP($E46,'DID List'!$A:$L,11,)))</f>
        <v/>
      </c>
      <c r="P46" s="63" t="str">
        <f>IF($E46=0,"",IF($E46="not included",K46,VLOOKUP($E46,'DID List'!$A:$L,12,)))</f>
        <v/>
      </c>
      <c r="Q46" s="63" t="str">
        <f t="shared" si="0"/>
        <v/>
      </c>
      <c r="R46" s="135" t="str">
        <f>IF(B46="","",IF(OR('Ingoing Substances'!H46=Languages!$A$61,'Ingoing Substances'!H46=Languages!$B$61),"Y",IF(OR('Ingoing Substances'!H46=Languages!$A$166,'Ingoing Substances'!H46=Languages!$B$166),"Y","N")))</f>
        <v/>
      </c>
      <c r="S46" s="18"/>
      <c r="T46" s="18"/>
      <c r="U46" s="18"/>
    </row>
    <row r="47" spans="1:21" ht="16" x14ac:dyDescent="0.2">
      <c r="A47" s="37">
        <v>36</v>
      </c>
      <c r="B47" s="320" t="str">
        <f>IF('Ingoing Substances'!B47="","",'Ingoing Substances'!B47)</f>
        <v/>
      </c>
      <c r="C47" s="321" t="str">
        <f>IF('Ingoing Substances'!C47="","",'Ingoing Substances'!C47)</f>
        <v/>
      </c>
      <c r="D47" s="322" t="str">
        <f>IF('Ingoing Substances'!G47="","",'Ingoing Substances'!G47)</f>
        <v/>
      </c>
      <c r="E47" s="6"/>
      <c r="F47" s="62" t="str">
        <f>IF(E47&gt;0,VLOOKUP(E47,'DID List'!A:L,3,FALSE),"   ")</f>
        <v xml:space="preserve">   </v>
      </c>
      <c r="G47" s="120" t="str">
        <f>IF('Ingoing Substances'!I47="","",'Ingoing Substances'!I47)</f>
        <v/>
      </c>
      <c r="H47" s="155"/>
      <c r="I47" s="493"/>
      <c r="J47" s="155"/>
      <c r="K47" s="155"/>
      <c r="L47" s="323"/>
      <c r="M47" s="63" t="str">
        <f>IF($E47=0,"",IF($E47="not included",H47,VLOOKUP($E47,'DID List'!$A:$L,10,)))</f>
        <v/>
      </c>
      <c r="N47" s="230" t="str">
        <f>IF($E47=0,"",IF($E47="not included",I47,VLOOKUP($E47,'DID List'!$A:$L,9,)))</f>
        <v/>
      </c>
      <c r="O47" s="63" t="str">
        <f>IF($E47=0,"",IF($E47="not included",J47,VLOOKUP($E47,'DID List'!$A:$L,11,)))</f>
        <v/>
      </c>
      <c r="P47" s="63" t="str">
        <f>IF($E47=0,"",IF($E47="not included",K47,VLOOKUP($E47,'DID List'!$A:$L,12,)))</f>
        <v/>
      </c>
      <c r="Q47" s="63" t="str">
        <f t="shared" si="0"/>
        <v/>
      </c>
      <c r="R47" s="135" t="str">
        <f>IF(B47="","",IF(OR('Ingoing Substances'!H47=Languages!$A$61,'Ingoing Substances'!H47=Languages!$B$61),"Y",IF(OR('Ingoing Substances'!H47=Languages!$A$166,'Ingoing Substances'!H47=Languages!$B$166),"Y","N")))</f>
        <v/>
      </c>
      <c r="S47" s="18"/>
      <c r="T47" s="18"/>
      <c r="U47" s="18"/>
    </row>
    <row r="48" spans="1:21" ht="16" x14ac:dyDescent="0.2">
      <c r="A48" s="37">
        <v>37</v>
      </c>
      <c r="B48" s="320" t="str">
        <f>IF('Ingoing Substances'!B48="","",'Ingoing Substances'!B48)</f>
        <v/>
      </c>
      <c r="C48" s="321" t="str">
        <f>IF('Ingoing Substances'!C48="","",'Ingoing Substances'!C48)</f>
        <v/>
      </c>
      <c r="D48" s="322" t="str">
        <f>IF('Ingoing Substances'!G48="","",'Ingoing Substances'!G48)</f>
        <v/>
      </c>
      <c r="E48" s="6"/>
      <c r="F48" s="62" t="str">
        <f>IF(E48&gt;0,VLOOKUP(E48,'DID List'!A:L,3,FALSE),"   ")</f>
        <v xml:space="preserve">   </v>
      </c>
      <c r="G48" s="120" t="str">
        <f>IF('Ingoing Substances'!I48="","",'Ingoing Substances'!I48)</f>
        <v/>
      </c>
      <c r="H48" s="155"/>
      <c r="I48" s="493"/>
      <c r="J48" s="155"/>
      <c r="K48" s="155"/>
      <c r="L48" s="323"/>
      <c r="M48" s="63" t="str">
        <f>IF($E48=0,"",IF($E48="not included",H48,VLOOKUP($E48,'DID List'!$A:$L,10,)))</f>
        <v/>
      </c>
      <c r="N48" s="230" t="str">
        <f>IF($E48=0,"",IF($E48="not included",I48,VLOOKUP($E48,'DID List'!$A:$L,9,)))</f>
        <v/>
      </c>
      <c r="O48" s="63" t="str">
        <f>IF($E48=0,"",IF($E48="not included",J48,VLOOKUP($E48,'DID List'!$A:$L,11,)))</f>
        <v/>
      </c>
      <c r="P48" s="63" t="str">
        <f>IF($E48=0,"",IF($E48="not included",K48,VLOOKUP($E48,'DID List'!$A:$L,12,)))</f>
        <v/>
      </c>
      <c r="Q48" s="63" t="str">
        <f t="shared" si="0"/>
        <v/>
      </c>
      <c r="R48" s="135" t="str">
        <f>IF(B48="","",IF(OR('Ingoing Substances'!H48=Languages!$A$61,'Ingoing Substances'!H48=Languages!$B$61),"Y",IF(OR('Ingoing Substances'!H48=Languages!$A$166,'Ingoing Substances'!H48=Languages!$B$166),"Y","N")))</f>
        <v/>
      </c>
      <c r="S48" s="18"/>
      <c r="T48" s="18"/>
      <c r="U48" s="18"/>
    </row>
    <row r="49" spans="1:21" ht="16" x14ac:dyDescent="0.2">
      <c r="A49" s="37">
        <v>38</v>
      </c>
      <c r="B49" s="320" t="str">
        <f>IF('Ingoing Substances'!B49="","",'Ingoing Substances'!B49)</f>
        <v/>
      </c>
      <c r="C49" s="321" t="str">
        <f>IF('Ingoing Substances'!C49="","",'Ingoing Substances'!C49)</f>
        <v/>
      </c>
      <c r="D49" s="322" t="str">
        <f>IF('Ingoing Substances'!G49="","",'Ingoing Substances'!G49)</f>
        <v/>
      </c>
      <c r="E49" s="6"/>
      <c r="F49" s="62" t="str">
        <f>IF(E49&gt;0,VLOOKUP(E49,'DID List'!A:L,3,FALSE),"   ")</f>
        <v xml:space="preserve">   </v>
      </c>
      <c r="G49" s="120" t="str">
        <f>IF('Ingoing Substances'!I49="","",'Ingoing Substances'!I49)</f>
        <v/>
      </c>
      <c r="H49" s="155"/>
      <c r="I49" s="493"/>
      <c r="J49" s="155"/>
      <c r="K49" s="155"/>
      <c r="L49" s="323"/>
      <c r="M49" s="63" t="str">
        <f>IF($E49=0,"",IF($E49="not included",H49,VLOOKUP($E49,'DID List'!$A:$L,10,)))</f>
        <v/>
      </c>
      <c r="N49" s="230" t="str">
        <f>IF($E49=0,"",IF($E49="not included",I49,VLOOKUP($E49,'DID List'!$A:$L,9,)))</f>
        <v/>
      </c>
      <c r="O49" s="63" t="str">
        <f>IF($E49=0,"",IF($E49="not included",J49,VLOOKUP($E49,'DID List'!$A:$L,11,)))</f>
        <v/>
      </c>
      <c r="P49" s="63" t="str">
        <f>IF($E49=0,"",IF($E49="not included",K49,VLOOKUP($E49,'DID List'!$A:$L,12,)))</f>
        <v/>
      </c>
      <c r="Q49" s="63" t="str">
        <f t="shared" si="0"/>
        <v/>
      </c>
      <c r="R49" s="135" t="str">
        <f>IF(B49="","",IF(OR('Ingoing Substances'!H49=Languages!$A$61,'Ingoing Substances'!H49=Languages!$B$61),"Y",IF(OR('Ingoing Substances'!H49=Languages!$A$166,'Ingoing Substances'!H49=Languages!$B$166),"Y","N")))</f>
        <v/>
      </c>
      <c r="S49" s="18"/>
      <c r="T49" s="18"/>
      <c r="U49" s="18"/>
    </row>
    <row r="50" spans="1:21" ht="16" x14ac:dyDescent="0.2">
      <c r="A50" s="37">
        <v>39</v>
      </c>
      <c r="B50" s="320" t="str">
        <f>IF('Ingoing Substances'!B50="","",'Ingoing Substances'!B50)</f>
        <v/>
      </c>
      <c r="C50" s="321" t="str">
        <f>IF('Ingoing Substances'!C50="","",'Ingoing Substances'!C50)</f>
        <v/>
      </c>
      <c r="D50" s="322" t="str">
        <f>IF('Ingoing Substances'!G50="","",'Ingoing Substances'!G50)</f>
        <v/>
      </c>
      <c r="E50" s="6"/>
      <c r="F50" s="62" t="str">
        <f>IF(E50&gt;0,VLOOKUP(E50,'DID List'!A:L,3,FALSE),"   ")</f>
        <v xml:space="preserve">   </v>
      </c>
      <c r="G50" s="120" t="str">
        <f>IF('Ingoing Substances'!I50="","",'Ingoing Substances'!I50)</f>
        <v/>
      </c>
      <c r="H50" s="155"/>
      <c r="I50" s="493"/>
      <c r="J50" s="155"/>
      <c r="K50" s="155"/>
      <c r="L50" s="323"/>
      <c r="M50" s="63" t="str">
        <f>IF($E50=0,"",IF($E50="not included",H50,VLOOKUP($E50,'DID List'!$A:$L,10,)))</f>
        <v/>
      </c>
      <c r="N50" s="230" t="str">
        <f>IF($E50=0,"",IF($E50="not included",I50,VLOOKUP($E50,'DID List'!$A:$L,9,)))</f>
        <v/>
      </c>
      <c r="O50" s="63" t="str">
        <f>IF($E50=0,"",IF($E50="not included",J50,VLOOKUP($E50,'DID List'!$A:$L,11,)))</f>
        <v/>
      </c>
      <c r="P50" s="63" t="str">
        <f>IF($E50=0,"",IF($E50="not included",K50,VLOOKUP($E50,'DID List'!$A:$L,12,)))</f>
        <v/>
      </c>
      <c r="Q50" s="63" t="str">
        <f t="shared" si="0"/>
        <v/>
      </c>
      <c r="R50" s="135" t="str">
        <f>IF(B50="","",IF(OR('Ingoing Substances'!H50=Languages!$A$61,'Ingoing Substances'!H50=Languages!$B$61),"Y",IF(OR('Ingoing Substances'!H50=Languages!$A$166,'Ingoing Substances'!H50=Languages!$B$166),"Y","N")))</f>
        <v/>
      </c>
      <c r="S50" s="18"/>
      <c r="T50" s="18"/>
      <c r="U50" s="18"/>
    </row>
    <row r="51" spans="1:21" ht="16" x14ac:dyDescent="0.2">
      <c r="A51" s="37">
        <v>40</v>
      </c>
      <c r="B51" s="320" t="str">
        <f>IF('Ingoing Substances'!B51="","",'Ingoing Substances'!B51)</f>
        <v/>
      </c>
      <c r="C51" s="321" t="str">
        <f>IF('Ingoing Substances'!C51="","",'Ingoing Substances'!C51)</f>
        <v/>
      </c>
      <c r="D51" s="322" t="str">
        <f>IF('Ingoing Substances'!G51="","",'Ingoing Substances'!G51)</f>
        <v/>
      </c>
      <c r="E51" s="6"/>
      <c r="F51" s="62" t="str">
        <f>IF(E51&gt;0,VLOOKUP(E51,'DID List'!A:L,3,FALSE),"   ")</f>
        <v xml:space="preserve">   </v>
      </c>
      <c r="G51" s="120" t="str">
        <f>IF('Ingoing Substances'!I51="","",'Ingoing Substances'!I51)</f>
        <v/>
      </c>
      <c r="H51" s="155"/>
      <c r="I51" s="493"/>
      <c r="J51" s="155"/>
      <c r="K51" s="155"/>
      <c r="L51" s="323"/>
      <c r="M51" s="63" t="str">
        <f>IF($E51=0,"",IF($E51="not included",H51,VLOOKUP($E51,'DID List'!$A:$L,10,)))</f>
        <v/>
      </c>
      <c r="N51" s="230" t="str">
        <f>IF($E51=0,"",IF($E51="not included",I51,VLOOKUP($E51,'DID List'!$A:$L,9,)))</f>
        <v/>
      </c>
      <c r="O51" s="63" t="str">
        <f>IF($E51=0,"",IF($E51="not included",J51,VLOOKUP($E51,'DID List'!$A:$L,11,)))</f>
        <v/>
      </c>
      <c r="P51" s="63" t="str">
        <f>IF($E51=0,"",IF($E51="not included",K51,VLOOKUP($E51,'DID List'!$A:$L,12,)))</f>
        <v/>
      </c>
      <c r="Q51" s="63" t="str">
        <f t="shared" si="0"/>
        <v/>
      </c>
      <c r="R51" s="135" t="str">
        <f>IF(B51="","",IF(OR('Ingoing Substances'!H51=Languages!$A$61,'Ingoing Substances'!H51=Languages!$B$61),"Y",IF(OR('Ingoing Substances'!H51=Languages!$A$166,'Ingoing Substances'!H51=Languages!$B$166),"Y","N")))</f>
        <v/>
      </c>
      <c r="S51" s="18"/>
      <c r="T51" s="18"/>
      <c r="U51" s="18"/>
    </row>
    <row r="52" spans="1:21" ht="16" x14ac:dyDescent="0.2">
      <c r="A52" s="37">
        <v>41</v>
      </c>
      <c r="B52" s="320" t="str">
        <f>IF('Ingoing Substances'!B52="","",'Ingoing Substances'!B52)</f>
        <v/>
      </c>
      <c r="C52" s="321" t="str">
        <f>IF('Ingoing Substances'!C52="","",'Ingoing Substances'!C52)</f>
        <v/>
      </c>
      <c r="D52" s="322" t="str">
        <f>IF('Ingoing Substances'!G52="","",'Ingoing Substances'!G52)</f>
        <v/>
      </c>
      <c r="E52" s="6"/>
      <c r="F52" s="62" t="str">
        <f>IF(E52&gt;0,VLOOKUP(E52,'DID List'!A:L,3,FALSE),"   ")</f>
        <v xml:space="preserve">   </v>
      </c>
      <c r="G52" s="120" t="str">
        <f>IF('Ingoing Substances'!I52="","",'Ingoing Substances'!I52)</f>
        <v/>
      </c>
      <c r="H52" s="155"/>
      <c r="I52" s="493"/>
      <c r="J52" s="155"/>
      <c r="K52" s="155"/>
      <c r="L52" s="323"/>
      <c r="M52" s="63" t="str">
        <f>IF($E52=0,"",IF($E52="not included",H52,VLOOKUP($E52,'DID List'!$A:$L,10,)))</f>
        <v/>
      </c>
      <c r="N52" s="230" t="str">
        <f>IF($E52=0,"",IF($E52="not included",I52,VLOOKUP($E52,'DID List'!$A:$L,9,)))</f>
        <v/>
      </c>
      <c r="O52" s="63" t="str">
        <f>IF($E52=0,"",IF($E52="not included",J52,VLOOKUP($E52,'DID List'!$A:$L,11,)))</f>
        <v/>
      </c>
      <c r="P52" s="63" t="str">
        <f>IF($E52=0,"",IF($E52="not included",K52,VLOOKUP($E52,'DID List'!$A:$L,12,)))</f>
        <v/>
      </c>
      <c r="Q52" s="63" t="str">
        <f t="shared" si="0"/>
        <v/>
      </c>
      <c r="R52" s="135" t="str">
        <f>IF(B52="","",IF(OR('Ingoing Substances'!H52=Languages!$A$61,'Ingoing Substances'!H52=Languages!$B$61),"Y",IF(OR('Ingoing Substances'!H52=Languages!$A$166,'Ingoing Substances'!H52=Languages!$B$166),"Y","N")))</f>
        <v/>
      </c>
      <c r="S52" s="18"/>
      <c r="T52" s="18"/>
      <c r="U52" s="18"/>
    </row>
    <row r="53" spans="1:21" ht="16" x14ac:dyDescent="0.2">
      <c r="A53" s="37">
        <v>42</v>
      </c>
      <c r="B53" s="320" t="str">
        <f>IF('Ingoing Substances'!B53="","",'Ingoing Substances'!B53)</f>
        <v/>
      </c>
      <c r="C53" s="321" t="str">
        <f>IF('Ingoing Substances'!C53="","",'Ingoing Substances'!C53)</f>
        <v/>
      </c>
      <c r="D53" s="322" t="str">
        <f>IF('Ingoing Substances'!G53="","",'Ingoing Substances'!G53)</f>
        <v/>
      </c>
      <c r="E53" s="6"/>
      <c r="F53" s="62" t="str">
        <f>IF(E53&gt;0,VLOOKUP(E53,'DID List'!A:L,3,FALSE),"   ")</f>
        <v xml:space="preserve">   </v>
      </c>
      <c r="G53" s="120" t="str">
        <f>IF('Ingoing Substances'!I53="","",'Ingoing Substances'!I53)</f>
        <v/>
      </c>
      <c r="H53" s="155"/>
      <c r="I53" s="493"/>
      <c r="J53" s="155"/>
      <c r="K53" s="155"/>
      <c r="L53" s="323"/>
      <c r="M53" s="63" t="str">
        <f>IF($E53=0,"",IF($E53="not included",H53,VLOOKUP($E53,'DID List'!$A:$L,10,)))</f>
        <v/>
      </c>
      <c r="N53" s="230" t="str">
        <f>IF($E53=0,"",IF($E53="not included",I53,VLOOKUP($E53,'DID List'!$A:$L,9,)))</f>
        <v/>
      </c>
      <c r="O53" s="63" t="str">
        <f>IF($E53=0,"",IF($E53="not included",J53,VLOOKUP($E53,'DID List'!$A:$L,11,)))</f>
        <v/>
      </c>
      <c r="P53" s="63" t="str">
        <f>IF($E53=0,"",IF($E53="not included",K53,VLOOKUP($E53,'DID List'!$A:$L,12,)))</f>
        <v/>
      </c>
      <c r="Q53" s="63" t="str">
        <f t="shared" si="0"/>
        <v/>
      </c>
      <c r="R53" s="135" t="str">
        <f>IF(B53="","",IF(OR('Ingoing Substances'!H53=Languages!$A$61,'Ingoing Substances'!H53=Languages!$B$61),"Y",IF(OR('Ingoing Substances'!H53=Languages!$A$166,'Ingoing Substances'!H53=Languages!$B$166),"Y","N")))</f>
        <v/>
      </c>
      <c r="S53" s="18"/>
      <c r="T53" s="18"/>
      <c r="U53" s="18"/>
    </row>
    <row r="54" spans="1:21" ht="16" x14ac:dyDescent="0.2">
      <c r="A54" s="37">
        <v>43</v>
      </c>
      <c r="B54" s="320" t="str">
        <f>IF('Ingoing Substances'!B54="","",'Ingoing Substances'!B54)</f>
        <v/>
      </c>
      <c r="C54" s="321" t="str">
        <f>IF('Ingoing Substances'!C54="","",'Ingoing Substances'!C54)</f>
        <v/>
      </c>
      <c r="D54" s="322" t="str">
        <f>IF('Ingoing Substances'!G54="","",'Ingoing Substances'!G54)</f>
        <v/>
      </c>
      <c r="E54" s="6"/>
      <c r="F54" s="62" t="str">
        <f>IF(E54&gt;0,VLOOKUP(E54,'DID List'!A:L,3,FALSE),"   ")</f>
        <v xml:space="preserve">   </v>
      </c>
      <c r="G54" s="120" t="str">
        <f>IF('Ingoing Substances'!I54="","",'Ingoing Substances'!I54)</f>
        <v/>
      </c>
      <c r="H54" s="155"/>
      <c r="I54" s="493"/>
      <c r="J54" s="155"/>
      <c r="K54" s="155"/>
      <c r="L54" s="323"/>
      <c r="M54" s="63" t="str">
        <f>IF($E54=0,"",IF($E54="not included",H54,VLOOKUP($E54,'DID List'!$A:$L,10,)))</f>
        <v/>
      </c>
      <c r="N54" s="230" t="str">
        <f>IF($E54=0,"",IF($E54="not included",I54,VLOOKUP($E54,'DID List'!$A:$L,9,)))</f>
        <v/>
      </c>
      <c r="O54" s="63" t="str">
        <f>IF($E54=0,"",IF($E54="not included",J54,VLOOKUP($E54,'DID List'!$A:$L,11,)))</f>
        <v/>
      </c>
      <c r="P54" s="63" t="str">
        <f>IF($E54=0,"",IF($E54="not included",K54,VLOOKUP($E54,'DID List'!$A:$L,12,)))</f>
        <v/>
      </c>
      <c r="Q54" s="63" t="str">
        <f t="shared" si="0"/>
        <v/>
      </c>
      <c r="R54" s="135" t="str">
        <f>IF(B54="","",IF(OR('Ingoing Substances'!H54=Languages!$A$61,'Ingoing Substances'!H54=Languages!$B$61),"Y",IF(OR('Ingoing Substances'!H54=Languages!$A$166,'Ingoing Substances'!H54=Languages!$B$166),"Y","N")))</f>
        <v/>
      </c>
      <c r="S54" s="18"/>
      <c r="T54" s="18"/>
      <c r="U54" s="18"/>
    </row>
    <row r="55" spans="1:21" ht="16" x14ac:dyDescent="0.2">
      <c r="A55" s="37">
        <v>44</v>
      </c>
      <c r="B55" s="320" t="str">
        <f>IF('Ingoing Substances'!B55="","",'Ingoing Substances'!B55)</f>
        <v/>
      </c>
      <c r="C55" s="321" t="str">
        <f>IF('Ingoing Substances'!C55="","",'Ingoing Substances'!C55)</f>
        <v/>
      </c>
      <c r="D55" s="322" t="str">
        <f>IF('Ingoing Substances'!G55="","",'Ingoing Substances'!G55)</f>
        <v/>
      </c>
      <c r="E55" s="6"/>
      <c r="F55" s="62" t="str">
        <f>IF(E55&gt;0,VLOOKUP(E55,'DID List'!A:L,3,FALSE),"   ")</f>
        <v xml:space="preserve">   </v>
      </c>
      <c r="G55" s="120" t="str">
        <f>IF('Ingoing Substances'!I55="","",'Ingoing Substances'!I55)</f>
        <v/>
      </c>
      <c r="H55" s="155"/>
      <c r="I55" s="493"/>
      <c r="J55" s="155"/>
      <c r="K55" s="155"/>
      <c r="L55" s="323"/>
      <c r="M55" s="63" t="str">
        <f>IF($E55=0,"",IF($E55="not included",H55,VLOOKUP($E55,'DID List'!$A:$L,10,)))</f>
        <v/>
      </c>
      <c r="N55" s="230" t="str">
        <f>IF($E55=0,"",IF($E55="not included",I55,VLOOKUP($E55,'DID List'!$A:$L,9,)))</f>
        <v/>
      </c>
      <c r="O55" s="63" t="str">
        <f>IF($E55=0,"",IF($E55="not included",J55,VLOOKUP($E55,'DID List'!$A:$L,11,)))</f>
        <v/>
      </c>
      <c r="P55" s="63" t="str">
        <f>IF($E55=0,"",IF($E55="not included",K55,VLOOKUP($E55,'DID List'!$A:$L,12,)))</f>
        <v/>
      </c>
      <c r="Q55" s="63" t="str">
        <f t="shared" si="0"/>
        <v/>
      </c>
      <c r="R55" s="135" t="str">
        <f>IF(B55="","",IF(OR('Ingoing Substances'!H55=Languages!$A$61,'Ingoing Substances'!H55=Languages!$B$61),"Y",IF(OR('Ingoing Substances'!H55=Languages!$A$166,'Ingoing Substances'!H55=Languages!$B$166),"Y","N")))</f>
        <v/>
      </c>
      <c r="S55" s="18"/>
      <c r="T55" s="18"/>
      <c r="U55" s="18"/>
    </row>
    <row r="56" spans="1:21" ht="16" x14ac:dyDescent="0.2">
      <c r="A56" s="37">
        <v>45</v>
      </c>
      <c r="B56" s="320" t="str">
        <f>IF('Ingoing Substances'!B56="","",'Ingoing Substances'!B56)</f>
        <v/>
      </c>
      <c r="C56" s="321" t="str">
        <f>IF('Ingoing Substances'!C56="","",'Ingoing Substances'!C56)</f>
        <v/>
      </c>
      <c r="D56" s="322" t="str">
        <f>IF('Ingoing Substances'!G56="","",'Ingoing Substances'!G56)</f>
        <v/>
      </c>
      <c r="E56" s="6"/>
      <c r="F56" s="62" t="str">
        <f>IF(E56&gt;0,VLOOKUP(E56,'DID List'!A:L,3,FALSE),"   ")</f>
        <v xml:space="preserve">   </v>
      </c>
      <c r="G56" s="120" t="str">
        <f>IF('Ingoing Substances'!I56="","",'Ingoing Substances'!I56)</f>
        <v/>
      </c>
      <c r="H56" s="155"/>
      <c r="I56" s="493"/>
      <c r="J56" s="155"/>
      <c r="K56" s="155"/>
      <c r="L56" s="323"/>
      <c r="M56" s="63" t="str">
        <f>IF($E56=0,"",IF($E56="not included",H56,VLOOKUP($E56,'DID List'!$A:$L,10,)))</f>
        <v/>
      </c>
      <c r="N56" s="230" t="str">
        <f>IF($E56=0,"",IF($E56="not included",I56,VLOOKUP($E56,'DID List'!$A:$L,9,)))</f>
        <v/>
      </c>
      <c r="O56" s="63" t="str">
        <f>IF($E56=0,"",IF($E56="not included",J56,VLOOKUP($E56,'DID List'!$A:$L,11,)))</f>
        <v/>
      </c>
      <c r="P56" s="63" t="str">
        <f>IF($E56=0,"",IF($E56="not included",K56,VLOOKUP($E56,'DID List'!$A:$L,12,)))</f>
        <v/>
      </c>
      <c r="Q56" s="63" t="str">
        <f t="shared" si="0"/>
        <v/>
      </c>
      <c r="R56" s="135" t="str">
        <f>IF(B56="","",IF(OR('Ingoing Substances'!H56=Languages!$A$61,'Ingoing Substances'!H56=Languages!$B$61),"Y",IF(OR('Ingoing Substances'!H56=Languages!$A$166,'Ingoing Substances'!H56=Languages!$B$166),"Y","N")))</f>
        <v/>
      </c>
      <c r="S56" s="18"/>
      <c r="T56" s="18"/>
      <c r="U56" s="18"/>
    </row>
    <row r="57" spans="1:21" ht="16" x14ac:dyDescent="0.2">
      <c r="A57" s="37">
        <v>46</v>
      </c>
      <c r="B57" s="320" t="str">
        <f>IF('Ingoing Substances'!B57="","",'Ingoing Substances'!B57)</f>
        <v/>
      </c>
      <c r="C57" s="321" t="str">
        <f>IF('Ingoing Substances'!C57="","",'Ingoing Substances'!C57)</f>
        <v/>
      </c>
      <c r="D57" s="322" t="str">
        <f>IF('Ingoing Substances'!G57="","",'Ingoing Substances'!G57)</f>
        <v/>
      </c>
      <c r="E57" s="6"/>
      <c r="F57" s="62" t="str">
        <f>IF(E57&gt;0,VLOOKUP(E57,'DID List'!A:L,3,FALSE),"   ")</f>
        <v xml:space="preserve">   </v>
      </c>
      <c r="G57" s="120" t="str">
        <f>IF('Ingoing Substances'!I57="","",'Ingoing Substances'!I57)</f>
        <v/>
      </c>
      <c r="H57" s="155"/>
      <c r="I57" s="493"/>
      <c r="J57" s="155"/>
      <c r="K57" s="155"/>
      <c r="L57" s="323"/>
      <c r="M57" s="63" t="str">
        <f>IF($E57=0,"",IF($E57="not included",H57,VLOOKUP($E57,'DID List'!$A:$L,10,)))</f>
        <v/>
      </c>
      <c r="N57" s="230" t="str">
        <f>IF($E57=0,"",IF($E57="not included",I57,VLOOKUP($E57,'DID List'!$A:$L,9,)))</f>
        <v/>
      </c>
      <c r="O57" s="63" t="str">
        <f>IF($E57=0,"",IF($E57="not included",J57,VLOOKUP($E57,'DID List'!$A:$L,11,)))</f>
        <v/>
      </c>
      <c r="P57" s="63" t="str">
        <f>IF($E57=0,"",IF($E57="not included",K57,VLOOKUP($E57,'DID List'!$A:$L,12,)))</f>
        <v/>
      </c>
      <c r="Q57" s="63" t="str">
        <f t="shared" si="0"/>
        <v/>
      </c>
      <c r="R57" s="135" t="str">
        <f>IF(B57="","",IF(OR('Ingoing Substances'!H57=Languages!$A$61,'Ingoing Substances'!H57=Languages!$B$61),"Y",IF(OR('Ingoing Substances'!H57=Languages!$A$166,'Ingoing Substances'!H57=Languages!$B$166),"Y","N")))</f>
        <v/>
      </c>
      <c r="S57" s="18"/>
      <c r="T57" s="18"/>
      <c r="U57" s="18"/>
    </row>
    <row r="58" spans="1:21" ht="16" x14ac:dyDescent="0.2">
      <c r="A58" s="37">
        <v>47</v>
      </c>
      <c r="B58" s="320" t="str">
        <f>IF('Ingoing Substances'!B58="","",'Ingoing Substances'!B58)</f>
        <v/>
      </c>
      <c r="C58" s="321" t="str">
        <f>IF('Ingoing Substances'!C58="","",'Ingoing Substances'!C58)</f>
        <v/>
      </c>
      <c r="D58" s="322" t="str">
        <f>IF('Ingoing Substances'!G58="","",'Ingoing Substances'!G58)</f>
        <v/>
      </c>
      <c r="E58" s="6"/>
      <c r="F58" s="62" t="str">
        <f>IF(E58&gt;0,VLOOKUP(E58,'DID List'!A:L,3,FALSE),"   ")</f>
        <v xml:space="preserve">   </v>
      </c>
      <c r="G58" s="120" t="str">
        <f>IF('Ingoing Substances'!I58="","",'Ingoing Substances'!I58)</f>
        <v/>
      </c>
      <c r="H58" s="155"/>
      <c r="I58" s="493"/>
      <c r="J58" s="155"/>
      <c r="K58" s="155"/>
      <c r="L58" s="323"/>
      <c r="M58" s="63" t="str">
        <f>IF($E58=0,"",IF($E58="not included",H58,VLOOKUP($E58,'DID List'!$A:$L,10,)))</f>
        <v/>
      </c>
      <c r="N58" s="230" t="str">
        <f>IF($E58=0,"",IF($E58="not included",I58,VLOOKUP($E58,'DID List'!$A:$L,9,)))</f>
        <v/>
      </c>
      <c r="O58" s="63" t="str">
        <f>IF($E58=0,"",IF($E58="not included",J58,VLOOKUP($E58,'DID List'!$A:$L,11,)))</f>
        <v/>
      </c>
      <c r="P58" s="63" t="str">
        <f>IF($E58=0,"",IF($E58="not included",K58,VLOOKUP($E58,'DID List'!$A:$L,12,)))</f>
        <v/>
      </c>
      <c r="Q58" s="63" t="str">
        <f t="shared" si="0"/>
        <v/>
      </c>
      <c r="R58" s="135" t="str">
        <f>IF(B58="","",IF(OR('Ingoing Substances'!H58=Languages!$A$61,'Ingoing Substances'!H58=Languages!$B$61),"Y",IF(OR('Ingoing Substances'!H58=Languages!$A$166,'Ingoing Substances'!H58=Languages!$B$166),"Y","N")))</f>
        <v/>
      </c>
      <c r="S58" s="18"/>
      <c r="T58" s="18"/>
      <c r="U58" s="18"/>
    </row>
    <row r="59" spans="1:21" ht="16" x14ac:dyDescent="0.2">
      <c r="A59" s="37">
        <v>48</v>
      </c>
      <c r="B59" s="320" t="str">
        <f>IF('Ingoing Substances'!B59="","",'Ingoing Substances'!B59)</f>
        <v/>
      </c>
      <c r="C59" s="321" t="str">
        <f>IF('Ingoing Substances'!C59="","",'Ingoing Substances'!C59)</f>
        <v/>
      </c>
      <c r="D59" s="322" t="str">
        <f>IF('Ingoing Substances'!G59="","",'Ingoing Substances'!G59)</f>
        <v/>
      </c>
      <c r="E59" s="6"/>
      <c r="F59" s="62" t="str">
        <f>IF(E59&gt;0,VLOOKUP(E59,'DID List'!A:L,3,FALSE),"   ")</f>
        <v xml:space="preserve">   </v>
      </c>
      <c r="G59" s="120" t="str">
        <f>IF('Ingoing Substances'!I59="","",'Ingoing Substances'!I59)</f>
        <v/>
      </c>
      <c r="H59" s="155"/>
      <c r="I59" s="493"/>
      <c r="J59" s="155"/>
      <c r="K59" s="155"/>
      <c r="L59" s="323"/>
      <c r="M59" s="63" t="str">
        <f>IF($E59=0,"",IF($E59="not included",H59,VLOOKUP($E59,'DID List'!$A:$L,10,)))</f>
        <v/>
      </c>
      <c r="N59" s="230" t="str">
        <f>IF($E59=0,"",IF($E59="not included",I59,VLOOKUP($E59,'DID List'!$A:$L,9,)))</f>
        <v/>
      </c>
      <c r="O59" s="63" t="str">
        <f>IF($E59=0,"",IF($E59="not included",J59,VLOOKUP($E59,'DID List'!$A:$L,11,)))</f>
        <v/>
      </c>
      <c r="P59" s="63" t="str">
        <f>IF($E59=0,"",IF($E59="not included",K59,VLOOKUP($E59,'DID List'!$A:$L,12,)))</f>
        <v/>
      </c>
      <c r="Q59" s="63" t="str">
        <f t="shared" si="0"/>
        <v/>
      </c>
      <c r="R59" s="135" t="str">
        <f>IF(B59="","",IF(OR('Ingoing Substances'!H59=Languages!$A$61,'Ingoing Substances'!H59=Languages!$B$61),"Y",IF(OR('Ingoing Substances'!H59=Languages!$A$166,'Ingoing Substances'!H59=Languages!$B$166),"Y","N")))</f>
        <v/>
      </c>
      <c r="S59" s="18"/>
      <c r="T59" s="18"/>
      <c r="U59" s="18"/>
    </row>
    <row r="60" spans="1:21" ht="16" x14ac:dyDescent="0.2">
      <c r="A60" s="37">
        <v>49</v>
      </c>
      <c r="B60" s="320" t="str">
        <f>IF('Ingoing Substances'!B60="","",'Ingoing Substances'!B60)</f>
        <v/>
      </c>
      <c r="C60" s="321" t="str">
        <f>IF('Ingoing Substances'!C60="","",'Ingoing Substances'!C60)</f>
        <v/>
      </c>
      <c r="D60" s="322" t="str">
        <f>IF('Ingoing Substances'!G60="","",'Ingoing Substances'!G60)</f>
        <v/>
      </c>
      <c r="E60" s="6"/>
      <c r="F60" s="62" t="str">
        <f>IF(E60&gt;0,VLOOKUP(E60,'DID List'!A:L,3,FALSE),"   ")</f>
        <v xml:space="preserve">   </v>
      </c>
      <c r="G60" s="120" t="str">
        <f>IF('Ingoing Substances'!I60="","",'Ingoing Substances'!I60)</f>
        <v/>
      </c>
      <c r="H60" s="155"/>
      <c r="I60" s="493"/>
      <c r="J60" s="155"/>
      <c r="K60" s="155"/>
      <c r="L60" s="323"/>
      <c r="M60" s="63" t="str">
        <f>IF($E60=0,"",IF($E60="not included",H60,VLOOKUP($E60,'DID List'!$A:$L,10,)))</f>
        <v/>
      </c>
      <c r="N60" s="230" t="str">
        <f>IF($E60=0,"",IF($E60="not included",I60,VLOOKUP($E60,'DID List'!$A:$L,9,)))</f>
        <v/>
      </c>
      <c r="O60" s="63" t="str">
        <f>IF($E60=0,"",IF($E60="not included",J60,VLOOKUP($E60,'DID List'!$A:$L,11,)))</f>
        <v/>
      </c>
      <c r="P60" s="63" t="str">
        <f>IF($E60=0,"",IF($E60="not included",K60,VLOOKUP($E60,'DID List'!$A:$L,12,)))</f>
        <v/>
      </c>
      <c r="Q60" s="63" t="str">
        <f t="shared" si="0"/>
        <v/>
      </c>
      <c r="R60" s="135" t="str">
        <f>IF(B60="","",IF(OR('Ingoing Substances'!H60=Languages!$A$61,'Ingoing Substances'!H60=Languages!$B$61),"Y",IF(OR('Ingoing Substances'!H60=Languages!$A$166,'Ingoing Substances'!H60=Languages!$B$166),"Y","N")))</f>
        <v/>
      </c>
      <c r="S60" s="18"/>
      <c r="T60" s="18"/>
      <c r="U60" s="18"/>
    </row>
    <row r="61" spans="1:21" ht="16" x14ac:dyDescent="0.2">
      <c r="A61" s="37">
        <v>50</v>
      </c>
      <c r="B61" s="320" t="str">
        <f>IF('Ingoing Substances'!B61="","",'Ingoing Substances'!B61)</f>
        <v/>
      </c>
      <c r="C61" s="321" t="str">
        <f>IF('Ingoing Substances'!C61="","",'Ingoing Substances'!C61)</f>
        <v/>
      </c>
      <c r="D61" s="322" t="str">
        <f>IF('Ingoing Substances'!G61="","",'Ingoing Substances'!G61)</f>
        <v/>
      </c>
      <c r="E61" s="6"/>
      <c r="F61" s="62" t="str">
        <f>IF(E61&gt;0,VLOOKUP(E61,'DID List'!A:L,3,FALSE),"   ")</f>
        <v xml:space="preserve">   </v>
      </c>
      <c r="G61" s="120" t="str">
        <f>IF('Ingoing Substances'!I61="","",'Ingoing Substances'!I61)</f>
        <v/>
      </c>
      <c r="H61" s="155"/>
      <c r="I61" s="493"/>
      <c r="J61" s="155"/>
      <c r="K61" s="155"/>
      <c r="L61" s="323"/>
      <c r="M61" s="63" t="str">
        <f>IF($E61=0,"",IF($E61="not included",H61,VLOOKUP($E61,'DID List'!$A:$L,10,)))</f>
        <v/>
      </c>
      <c r="N61" s="230" t="str">
        <f>IF($E61=0,"",IF($E61="not included",I61,VLOOKUP($E61,'DID List'!$A:$L,9,)))</f>
        <v/>
      </c>
      <c r="O61" s="63" t="str">
        <f>IF($E61=0,"",IF($E61="not included",J61,VLOOKUP($E61,'DID List'!$A:$L,11,)))</f>
        <v/>
      </c>
      <c r="P61" s="63" t="str">
        <f>IF($E61=0,"",IF($E61="not included",K61,VLOOKUP($E61,'DID List'!$A:$L,12,)))</f>
        <v/>
      </c>
      <c r="Q61" s="63" t="str">
        <f t="shared" si="0"/>
        <v/>
      </c>
      <c r="R61" s="135" t="str">
        <f>IF(B61="","",IF(OR('Ingoing Substances'!H61=Languages!$A$61,'Ingoing Substances'!H61=Languages!$B$61),"Y",IF(OR('Ingoing Substances'!H61=Languages!$A$166,'Ingoing Substances'!H61=Languages!$B$166),"Y","N")))</f>
        <v/>
      </c>
      <c r="S61" s="18"/>
      <c r="T61" s="18"/>
      <c r="U61" s="18"/>
    </row>
    <row r="62" spans="1:21" ht="16" x14ac:dyDescent="0.2">
      <c r="A62" s="40"/>
      <c r="B62" s="41" t="str">
        <f>'Formulation Pre-Products'!B62</f>
        <v>Sum:</v>
      </c>
      <c r="C62" s="41"/>
      <c r="D62" s="40"/>
      <c r="E62" s="42"/>
      <c r="F62" s="77"/>
      <c r="G62" s="43">
        <f>SUM(G12:G61)</f>
        <v>0</v>
      </c>
      <c r="H62" s="64"/>
      <c r="I62" s="64"/>
      <c r="J62" s="64"/>
      <c r="K62" s="64"/>
      <c r="L62" s="139"/>
      <c r="M62" s="45"/>
      <c r="N62" s="45"/>
      <c r="O62" s="45"/>
      <c r="P62" s="45"/>
      <c r="Q62" s="45"/>
      <c r="R62" s="54"/>
      <c r="S62" s="18"/>
      <c r="T62" s="18"/>
      <c r="U62" s="18"/>
    </row>
    <row r="63" spans="1:21" ht="16" x14ac:dyDescent="0.2">
      <c r="A63" s="23"/>
      <c r="B63" s="46"/>
      <c r="C63" s="23"/>
      <c r="D63" s="46"/>
      <c r="E63" s="46"/>
      <c r="F63" s="54"/>
      <c r="G63" s="22" t="str">
        <f>'Formulation Pre-Products'!E63</f>
        <v>(must be 100)</v>
      </c>
      <c r="H63" s="46"/>
      <c r="I63" s="46"/>
      <c r="J63" s="46"/>
      <c r="K63" s="46"/>
      <c r="L63" s="211"/>
      <c r="M63" s="49"/>
      <c r="N63" s="49"/>
      <c r="O63" s="49"/>
      <c r="P63" s="54"/>
      <c r="Q63" s="54"/>
      <c r="R63" s="65"/>
      <c r="S63" s="18"/>
      <c r="T63" s="18"/>
      <c r="U63" s="18"/>
    </row>
    <row r="64" spans="1:21" ht="16" x14ac:dyDescent="0.2">
      <c r="A64" s="23"/>
      <c r="B64" s="46"/>
      <c r="C64" s="23"/>
      <c r="D64" s="46"/>
      <c r="E64" s="46"/>
      <c r="F64" s="54"/>
      <c r="G64" s="47"/>
      <c r="H64" s="46"/>
      <c r="I64" s="46"/>
      <c r="J64" s="46"/>
      <c r="K64" s="46"/>
      <c r="L64" s="211"/>
      <c r="M64" s="49"/>
      <c r="N64" s="49"/>
      <c r="O64" s="49"/>
      <c r="P64" s="54"/>
      <c r="Q64" s="54"/>
      <c r="R64" s="65"/>
      <c r="S64" s="18"/>
      <c r="T64" s="18"/>
      <c r="U64" s="18"/>
    </row>
    <row r="65" spans="1:21" ht="30" customHeight="1" x14ac:dyDescent="0.2">
      <c r="A65" s="23"/>
      <c r="B65" s="709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709">
        <f>IF(Product!$C$2=Languages!B33,Languages!B134,Languages!C134)</f>
        <v>0</v>
      </c>
      <c r="D65" s="709">
        <f>IF(Product!$C$2=Languages!C33,Languages!C134,Languages!D134)</f>
        <v>0</v>
      </c>
      <c r="E65" s="709">
        <f>IF(Product!$C$2=Languages!D33,Languages!D134,Languages!E134)</f>
        <v>0</v>
      </c>
      <c r="F65" s="709">
        <f>IF(Product!$C$2=Languages!E33,Languages!E134,Languages!F134)</f>
        <v>0</v>
      </c>
      <c r="G65" s="709">
        <f>IF(Product!$C$2=Languages!F33,Languages!F134,Languages!G134)</f>
        <v>0</v>
      </c>
      <c r="H65" s="709">
        <f>IF(Product!$C$2=Languages!G33,Languages!G134,Languages!H134)</f>
        <v>0</v>
      </c>
      <c r="I65" s="709">
        <f>IF(Product!$C$2=Languages!H33,Languages!H134,Languages!I134)</f>
        <v>0</v>
      </c>
      <c r="J65" s="709">
        <f>IF(Product!$C$2=Languages!I33,Languages!I134,Languages!J134)</f>
        <v>0</v>
      </c>
      <c r="K65" s="709">
        <f>IF(Product!$C$2=Languages!J33,Languages!J134,Languages!K134)</f>
        <v>0</v>
      </c>
      <c r="L65" s="709"/>
      <c r="M65" s="709">
        <f>IF(Product!$C$2=Languages!K33,Languages!K134,Languages!L134)</f>
        <v>0</v>
      </c>
      <c r="N65" s="709">
        <f>IF(Product!$C$2=Languages!L33,Languages!L134,Languages!M134)</f>
        <v>0</v>
      </c>
      <c r="O65" s="709">
        <f>IF(Product!$C$2=Languages!M33,Languages!M134,Languages!N134)</f>
        <v>0</v>
      </c>
      <c r="P65" s="709">
        <f>IF(Product!$C$2=Languages!N33,Languages!N134,Languages!O134)</f>
        <v>0</v>
      </c>
      <c r="Q65" s="259"/>
      <c r="R65" s="65"/>
      <c r="S65" s="18"/>
      <c r="T65" s="18"/>
      <c r="U65" s="18"/>
    </row>
    <row r="66" spans="1:21" ht="16" x14ac:dyDescent="0.2">
      <c r="A66" s="23"/>
      <c r="B66" s="50" t="str">
        <f>IF(Product!$C$2=Languages!A3,Languages!A33,Languages!B33)</f>
        <v>3) automatically all ingoing substances appear.</v>
      </c>
      <c r="C66" s="51"/>
      <c r="D66" s="50"/>
      <c r="E66" s="50"/>
      <c r="F66" s="65"/>
      <c r="G66" s="50"/>
      <c r="H66" s="50"/>
      <c r="I66" s="50"/>
      <c r="J66" s="50"/>
      <c r="K66" s="50"/>
      <c r="L66" s="212"/>
      <c r="M66" s="52"/>
      <c r="N66" s="52"/>
      <c r="O66" s="52"/>
      <c r="P66" s="65"/>
      <c r="Q66" s="65"/>
      <c r="R66" s="259"/>
      <c r="S66" s="18"/>
      <c r="T66" s="18"/>
      <c r="U66" s="18"/>
    </row>
    <row r="67" spans="1:21" ht="11.25" customHeight="1" x14ac:dyDescent="0.2">
      <c r="A67" s="23"/>
      <c r="B67" s="46"/>
      <c r="C67" s="23"/>
      <c r="D67" s="46"/>
      <c r="E67" s="46"/>
      <c r="F67" s="54"/>
      <c r="G67" s="54"/>
      <c r="H67" s="46"/>
      <c r="I67" s="46"/>
      <c r="J67" s="46"/>
      <c r="K67" s="46"/>
      <c r="L67" s="139"/>
      <c r="M67" s="49"/>
      <c r="N67" s="49"/>
      <c r="O67" s="49"/>
      <c r="P67" s="54"/>
      <c r="Q67" s="54"/>
      <c r="R67" s="54"/>
      <c r="S67" s="18"/>
      <c r="T67" s="18"/>
      <c r="U67" s="18"/>
    </row>
    <row r="68" spans="1:21" ht="46.5" customHeight="1" x14ac:dyDescent="0.2">
      <c r="A68" s="16"/>
      <c r="B68" s="694" t="str">
        <f>'Formulation Pre-Products'!B67:H67</f>
        <v>remarks of the applicant</v>
      </c>
      <c r="C68" s="694"/>
      <c r="D68" s="694"/>
      <c r="E68" s="694"/>
      <c r="F68" s="694"/>
      <c r="G68" s="694"/>
      <c r="H68" s="694"/>
      <c r="I68" s="694"/>
      <c r="J68" s="694"/>
      <c r="K68" s="694"/>
      <c r="L68" s="694"/>
      <c r="M68" s="694"/>
      <c r="N68" s="694"/>
      <c r="O68" s="694"/>
      <c r="P68" s="694"/>
      <c r="Q68" s="694"/>
      <c r="R68" s="54"/>
      <c r="S68" s="18"/>
      <c r="T68" s="18"/>
      <c r="U68" s="18"/>
    </row>
    <row r="69" spans="1:21" ht="16" x14ac:dyDescent="0.2">
      <c r="A69" s="23"/>
      <c r="B69" s="46"/>
      <c r="C69" s="23"/>
      <c r="D69" s="46"/>
      <c r="E69" s="46"/>
      <c r="F69" s="54"/>
      <c r="G69" s="54"/>
      <c r="H69" s="46"/>
      <c r="I69" s="46"/>
      <c r="J69" s="46"/>
      <c r="K69" s="46"/>
      <c r="L69" s="139"/>
      <c r="M69" s="49"/>
      <c r="N69" s="49"/>
      <c r="O69" s="49"/>
      <c r="P69" s="54"/>
      <c r="Q69" s="54"/>
      <c r="R69" s="54"/>
      <c r="S69" s="18"/>
      <c r="T69" s="18"/>
      <c r="U69" s="18"/>
    </row>
    <row r="70" spans="1:21" ht="16" x14ac:dyDescent="0.2">
      <c r="A70" s="53"/>
      <c r="B70" s="9"/>
      <c r="C70" s="53"/>
      <c r="D70" s="54"/>
      <c r="E70" s="95" t="s">
        <v>228</v>
      </c>
      <c r="F70" s="54"/>
      <c r="G70" s="54"/>
      <c r="H70" s="54"/>
      <c r="I70" s="54"/>
      <c r="J70" s="54"/>
      <c r="K70" s="54"/>
      <c r="L70" s="139"/>
      <c r="M70" s="55"/>
      <c r="N70" s="55"/>
      <c r="O70" s="55"/>
      <c r="P70" s="54"/>
      <c r="Q70" s="54"/>
      <c r="R70" s="54"/>
      <c r="S70" s="18"/>
      <c r="T70" s="18"/>
      <c r="U70" s="18"/>
    </row>
    <row r="71" spans="1:21" x14ac:dyDescent="0.15">
      <c r="A71" s="53"/>
      <c r="B71" s="55"/>
      <c r="C71" s="55"/>
      <c r="D71" s="55"/>
      <c r="E71" s="78" t="s">
        <v>193</v>
      </c>
      <c r="F71" s="79" t="str">
        <f>IF(Product!$C$2=Languages!A3,Languages!A79,Languages!B79)</f>
        <v>Readily biodegradable according to OECD guidelines.</v>
      </c>
      <c r="G71" s="55"/>
      <c r="H71" s="55"/>
      <c r="I71" s="55"/>
      <c r="J71" s="55"/>
      <c r="K71" s="55"/>
      <c r="L71" s="207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15">
      <c r="A72" s="53"/>
      <c r="B72" s="55"/>
      <c r="C72" s="55"/>
      <c r="D72" s="55"/>
      <c r="E72" s="78" t="s">
        <v>194</v>
      </c>
      <c r="F72" s="79" t="str">
        <f>IF(Product!$C$2=Languages!A3,Languages!A80,Languages!B80)</f>
        <v>Inherently biodegradable according to OECD guidelines.</v>
      </c>
      <c r="G72" s="55"/>
      <c r="H72" s="55"/>
      <c r="I72" s="55"/>
      <c r="J72" s="55"/>
      <c r="K72" s="55"/>
      <c r="L72" s="207"/>
      <c r="M72" s="55"/>
      <c r="N72" s="55"/>
      <c r="O72" s="55"/>
      <c r="P72" s="55"/>
      <c r="Q72" s="55"/>
      <c r="R72" s="55"/>
      <c r="S72" s="55"/>
      <c r="T72" s="55"/>
      <c r="U72" s="55"/>
    </row>
    <row r="73" spans="1:21" x14ac:dyDescent="0.15">
      <c r="A73" s="53"/>
      <c r="B73" s="55"/>
      <c r="C73" s="55"/>
      <c r="D73" s="55"/>
      <c r="E73" s="78" t="s">
        <v>195</v>
      </c>
      <c r="F73" s="79" t="str">
        <f>IF(Product!$C$2=Languages!A3,Languages!A81,Languages!B81)</f>
        <v>Persistent. The ingredient has failed the test for inherent biodegradability.</v>
      </c>
      <c r="G73" s="55"/>
      <c r="H73" s="55"/>
      <c r="I73" s="55"/>
      <c r="J73" s="55"/>
      <c r="K73" s="55"/>
      <c r="L73" s="207"/>
      <c r="M73" s="55"/>
      <c r="N73" s="55"/>
      <c r="O73" s="55"/>
      <c r="P73" s="55"/>
      <c r="Q73" s="55"/>
      <c r="R73" s="55"/>
      <c r="S73" s="55"/>
      <c r="T73" s="55"/>
      <c r="U73" s="55"/>
    </row>
    <row r="74" spans="1:21" x14ac:dyDescent="0.15">
      <c r="A74" s="53"/>
      <c r="B74" s="55"/>
      <c r="C74" s="55"/>
      <c r="D74" s="55"/>
      <c r="E74" s="78" t="s">
        <v>196</v>
      </c>
      <c r="F74" s="79" t="str">
        <f>IF(Product!$C$2=Languages!A3,Languages!A82,Languages!B82)</f>
        <v>The ingredient has not been tested.</v>
      </c>
      <c r="G74" s="55"/>
      <c r="H74" s="55"/>
      <c r="I74" s="55"/>
      <c r="J74" s="55"/>
      <c r="K74" s="55"/>
      <c r="L74" s="207"/>
      <c r="M74" s="55"/>
      <c r="N74" s="55"/>
      <c r="O74" s="55"/>
      <c r="P74" s="55"/>
      <c r="Q74" s="55"/>
      <c r="R74" s="55"/>
      <c r="S74" s="55"/>
      <c r="T74" s="55"/>
      <c r="U74" s="55"/>
    </row>
    <row r="75" spans="1:21" x14ac:dyDescent="0.15">
      <c r="A75" s="53"/>
      <c r="B75" s="55"/>
      <c r="C75" s="55"/>
      <c r="D75" s="55"/>
      <c r="E75" s="78" t="s">
        <v>197</v>
      </c>
      <c r="F75" s="79" t="str">
        <f>IF(Product!$C$2=Languages!A3,Languages!A83,Languages!B83)</f>
        <v>Not applicable</v>
      </c>
      <c r="G75" s="55"/>
      <c r="H75" s="55"/>
      <c r="I75" s="55"/>
      <c r="J75" s="55"/>
      <c r="K75" s="55"/>
      <c r="L75" s="207"/>
      <c r="M75" s="55"/>
      <c r="N75" s="55"/>
      <c r="O75" s="55"/>
      <c r="P75" s="55"/>
      <c r="Q75" s="55"/>
      <c r="R75" s="55"/>
      <c r="S75" s="55"/>
      <c r="T75" s="55"/>
      <c r="U75" s="55"/>
    </row>
    <row r="76" spans="1:21" x14ac:dyDescent="0.15">
      <c r="A76" s="97"/>
      <c r="B76" s="55"/>
      <c r="C76" s="55"/>
      <c r="D76" s="55"/>
      <c r="E76" s="78"/>
      <c r="F76" s="79"/>
      <c r="G76" s="55"/>
      <c r="H76" s="55"/>
      <c r="I76" s="55"/>
      <c r="J76" s="55"/>
      <c r="K76" s="55"/>
      <c r="L76" s="207"/>
      <c r="M76" s="55"/>
      <c r="N76" s="55"/>
      <c r="O76" s="55"/>
      <c r="P76" s="55"/>
      <c r="Q76" s="55"/>
      <c r="R76" s="55"/>
      <c r="S76" s="55"/>
      <c r="T76" s="55"/>
      <c r="U76" s="55"/>
    </row>
    <row r="77" spans="1:21" x14ac:dyDescent="0.15">
      <c r="A77" s="97"/>
      <c r="B77" s="55"/>
      <c r="C77" s="55"/>
      <c r="D77" s="55"/>
      <c r="E77" s="96" t="s">
        <v>229</v>
      </c>
      <c r="F77" s="79"/>
      <c r="G77" s="55"/>
      <c r="H77" s="55"/>
      <c r="I77" s="55"/>
      <c r="J77" s="55"/>
      <c r="K77" s="55"/>
      <c r="L77" s="207"/>
      <c r="M77" s="55"/>
      <c r="N77" s="55"/>
      <c r="O77" s="55"/>
      <c r="P77" s="55"/>
      <c r="Q77" s="55"/>
      <c r="R77" s="55"/>
      <c r="S77" s="55"/>
      <c r="T77" s="55"/>
      <c r="U77" s="55"/>
    </row>
    <row r="78" spans="1:21" x14ac:dyDescent="0.15">
      <c r="A78" s="97"/>
      <c r="B78" s="55"/>
      <c r="C78" s="55"/>
      <c r="D78" s="55"/>
      <c r="E78" s="80" t="s">
        <v>199</v>
      </c>
      <c r="F78" s="79" t="str">
        <f>IF(Product!$C$2=Languages!A3,Languages!A84,Languages!B84)</f>
        <v>Biodegradable under anaerobic conditions.</v>
      </c>
      <c r="G78" s="55"/>
      <c r="H78" s="55"/>
      <c r="I78" s="55"/>
      <c r="J78" s="55"/>
      <c r="K78" s="55"/>
      <c r="L78" s="207"/>
      <c r="M78" s="55"/>
      <c r="N78" s="55"/>
      <c r="O78" s="55"/>
      <c r="P78" s="55"/>
      <c r="Q78" s="55"/>
      <c r="R78" s="55"/>
      <c r="S78" s="55"/>
      <c r="T78" s="55"/>
      <c r="U78" s="55"/>
    </row>
    <row r="79" spans="1:21" x14ac:dyDescent="0.15">
      <c r="A79" s="97"/>
      <c r="B79" s="55"/>
      <c r="C79" s="55"/>
      <c r="D79" s="55"/>
      <c r="E79" s="80" t="s">
        <v>200</v>
      </c>
      <c r="F79" s="79" t="str">
        <f>IF(Product!$C$2=Languages!A3,Languages!A85,Languages!B85)</f>
        <v>Not biodegradable under anaerobic conditions.</v>
      </c>
      <c r="G79" s="55"/>
      <c r="H79" s="55"/>
      <c r="I79" s="55"/>
      <c r="J79" s="55"/>
      <c r="K79" s="55"/>
      <c r="L79" s="207"/>
      <c r="M79" s="55"/>
      <c r="N79" s="55"/>
      <c r="O79" s="55"/>
      <c r="P79" s="55"/>
      <c r="Q79" s="55"/>
      <c r="R79" s="55"/>
      <c r="S79" s="55"/>
      <c r="T79" s="55"/>
      <c r="U79" s="55"/>
    </row>
    <row r="80" spans="1:21" x14ac:dyDescent="0.15">
      <c r="A80" s="97"/>
      <c r="B80" s="55"/>
      <c r="C80" s="55"/>
      <c r="D80" s="55"/>
      <c r="E80" s="80" t="s">
        <v>201</v>
      </c>
      <c r="F80" s="79" t="str">
        <f>IF(Product!$C$2=Languages!A3,Languages!A86,Languages!B86)</f>
        <v>The ingredient has not been tested.</v>
      </c>
      <c r="G80" s="55"/>
      <c r="H80" s="55"/>
      <c r="I80" s="55"/>
      <c r="J80" s="55"/>
      <c r="K80" s="55"/>
      <c r="L80" s="207"/>
      <c r="M80" s="55"/>
      <c r="N80" s="55"/>
      <c r="O80" s="55"/>
      <c r="P80" s="55"/>
      <c r="Q80" s="55"/>
      <c r="R80" s="55"/>
      <c r="S80" s="55"/>
      <c r="T80" s="55"/>
      <c r="U80" s="55"/>
    </row>
    <row r="81" spans="1:21" x14ac:dyDescent="0.15">
      <c r="A81" s="97"/>
      <c r="B81" s="55"/>
      <c r="C81" s="55"/>
      <c r="D81" s="55"/>
      <c r="E81" s="80" t="s">
        <v>202</v>
      </c>
      <c r="F81" s="79" t="str">
        <f>IF(Product!$C$2=Languages!A3,Languages!A87,Languages!B87)</f>
        <v>Not applicable</v>
      </c>
      <c r="G81" s="55"/>
      <c r="H81" s="55"/>
      <c r="I81" s="55"/>
      <c r="J81" s="55"/>
      <c r="K81" s="55"/>
      <c r="L81" s="207"/>
      <c r="M81" s="55"/>
      <c r="N81" s="55"/>
      <c r="O81" s="55"/>
      <c r="P81" s="55"/>
      <c r="Q81" s="55"/>
      <c r="R81" s="55"/>
      <c r="S81" s="55"/>
      <c r="T81" s="55"/>
      <c r="U81" s="55"/>
    </row>
    <row r="82" spans="1:21" x14ac:dyDescent="0.15">
      <c r="A82" s="97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207"/>
      <c r="M82" s="55"/>
      <c r="N82" s="55"/>
      <c r="O82" s="55"/>
      <c r="P82" s="55"/>
      <c r="Q82" s="55"/>
      <c r="R82" s="55"/>
      <c r="S82" s="55"/>
      <c r="T82" s="55"/>
      <c r="U82" s="55"/>
    </row>
    <row r="83" spans="1:21" x14ac:dyDescent="0.15">
      <c r="A83" s="97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207"/>
      <c r="M83" s="55"/>
      <c r="N83" s="55"/>
      <c r="O83" s="55"/>
      <c r="P83" s="55"/>
      <c r="Q83" s="55"/>
      <c r="R83" s="55"/>
      <c r="S83" s="55"/>
      <c r="T83" s="55"/>
      <c r="U83" s="55"/>
    </row>
    <row r="84" spans="1:21" x14ac:dyDescent="0.15">
      <c r="A84" s="97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207"/>
      <c r="M84" s="55"/>
      <c r="N84" s="55"/>
      <c r="O84" s="55"/>
      <c r="P84" s="55"/>
      <c r="Q84" s="55"/>
      <c r="R84" s="55"/>
      <c r="S84" s="55"/>
      <c r="T84" s="55"/>
      <c r="U84" s="55"/>
    </row>
  </sheetData>
  <sheetProtection password="CC13" sheet="1" objects="1" scenarios="1" formatCells="0" formatColumns="0" formatRows="0" selectLockedCells="1" autoFilter="0"/>
  <autoFilter ref="B10:B63" xr:uid="{00000000-0009-0000-0000-000003000000}"/>
  <mergeCells count="19"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  <mergeCell ref="B68:Q68"/>
    <mergeCell ref="I4:J4"/>
    <mergeCell ref="I5:J5"/>
    <mergeCell ref="A3:B3"/>
    <mergeCell ref="A4:B4"/>
    <mergeCell ref="A5:B5"/>
    <mergeCell ref="C3:F3"/>
    <mergeCell ref="C4:F4"/>
    <mergeCell ref="C5:F5"/>
  </mergeCells>
  <phoneticPr fontId="4" type="noConversion"/>
  <conditionalFormatting sqref="H13:K61">
    <cfRule type="expression" dxfId="215" priority="53" stopIfTrue="1">
      <formula>$E13="not included"</formula>
    </cfRule>
  </conditionalFormatting>
  <conditionalFormatting sqref="E13:E61">
    <cfRule type="expression" dxfId="214" priority="10">
      <formula>B13=""</formula>
    </cfRule>
  </conditionalFormatting>
  <conditionalFormatting sqref="L13:L61">
    <cfRule type="expression" dxfId="213" priority="8">
      <formula>P13="O"</formula>
    </cfRule>
  </conditionalFormatting>
  <conditionalFormatting sqref="E13:E61">
    <cfRule type="expression" dxfId="212" priority="7">
      <formula>SUMPRODUCT(ISNUMBER(FIND($T$13:$T$20,E13))*1)&gt;0</formula>
    </cfRule>
  </conditionalFormatting>
  <conditionalFormatting sqref="G13">
    <cfRule type="expression" dxfId="211" priority="1">
      <formula>AND(G13&gt;0.005, E13=2411)</formula>
    </cfRule>
    <cfRule type="expression" dxfId="210" priority="2">
      <formula>AND(G13&gt;0.0015, E13=2410)</formula>
    </cfRule>
    <cfRule type="expression" dxfId="209" priority="3">
      <formula>AND(G13&gt;0.005, E13=2401)</formula>
    </cfRule>
  </conditionalFormatting>
  <dataValidations xWindow="512" yWindow="554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 xr:uid="{00000000-0002-0000-0300-000000000000}">
      <formula1>DID</formula1>
    </dataValidation>
    <dataValidation type="list" allowBlank="1" showInputMessage="1" showErrorMessage="1" sqref="H13:H61" xr:uid="{00000000-0002-0000-0300-000001000000}">
      <formula1>AW</formula1>
    </dataValidation>
    <dataValidation type="list" allowBlank="1" showInputMessage="1" showErrorMessage="1" sqref="J13:J61" xr:uid="{00000000-0002-0000-0300-000002000000}">
      <formula1>aNBO</formula1>
    </dataValidation>
    <dataValidation type="list" allowBlank="1" showInputMessage="1" showErrorMessage="1" sqref="K13:K61" xr:uid="{00000000-0002-0000-0300-000003000000}">
      <formula1>anNBO</formula1>
    </dataValidation>
    <dataValidation type="list" allowBlank="1" showInputMessage="1" showErrorMessage="1" error="Bitte auswählen!" sqref="L13:L61" xr:uid="{00000000-0002-0000-0300-000004000000}">
      <formula1>Ausnahme_anNBO</formula1>
    </dataValidation>
    <dataValidation allowBlank="1" showInputMessage="1" showErrorMessage="1" error="Bitte auswählen!" sqref="R13:R61" xr:uid="{00000000-0002-0000-0300-000005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F32:G60 F61: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T149"/>
  <sheetViews>
    <sheetView zoomScaleNormal="100" workbookViewId="0">
      <selection activeCell="B67" sqref="B67:J67"/>
    </sheetView>
  </sheetViews>
  <sheetFormatPr baseColWidth="10" defaultColWidth="11.5" defaultRowHeight="13" x14ac:dyDescent="0.15"/>
  <cols>
    <col min="1" max="1" width="3.6640625" style="97" customWidth="1"/>
    <col min="2" max="2" width="35.33203125" style="9" customWidth="1"/>
    <col min="3" max="3" width="17.33203125" style="97" customWidth="1"/>
    <col min="4" max="4" width="12.33203125" style="34" customWidth="1"/>
    <col min="5" max="5" width="12.83203125" style="34" customWidth="1"/>
    <col min="6" max="6" width="10.6640625" style="34" customWidth="1"/>
    <col min="7" max="7" width="11.6640625" style="34" customWidth="1"/>
    <col min="8" max="8" width="13.6640625" style="34" customWidth="1"/>
    <col min="9" max="9" width="13.6640625" style="9" customWidth="1"/>
    <col min="10" max="10" width="11.5" style="9"/>
    <col min="11" max="11" width="10.6640625" style="34" customWidth="1"/>
    <col min="12" max="12" width="11.6640625" style="34" customWidth="1"/>
    <col min="13" max="13" width="13.6640625" style="34" customWidth="1"/>
    <col min="14" max="14" width="13.6640625" style="9" customWidth="1"/>
    <col min="15" max="15" width="11.5" style="9"/>
    <col min="16" max="16" width="10.6640625" style="34" customWidth="1"/>
    <col min="17" max="17" width="11.6640625" style="34" customWidth="1"/>
    <col min="18" max="18" width="13.6640625" style="34" customWidth="1"/>
    <col min="19" max="19" width="13.6640625" style="9" customWidth="1"/>
    <col min="20" max="20" width="11.5" style="9"/>
  </cols>
  <sheetData>
    <row r="1" spans="1:20" s="7" customFormat="1" ht="16" x14ac:dyDescent="0.2">
      <c r="A1" s="16"/>
      <c r="B1" s="103"/>
      <c r="C1" s="17"/>
      <c r="D1" s="665" t="str">
        <f>Product!G1</f>
        <v>COMMISSION DECISION</v>
      </c>
      <c r="E1" s="706"/>
      <c r="F1" s="666"/>
      <c r="G1" s="684">
        <f>Product!I1</f>
        <v>0</v>
      </c>
      <c r="H1" s="695"/>
      <c r="I1" s="695"/>
      <c r="J1" s="685"/>
      <c r="K1" s="18"/>
      <c r="M1" s="18"/>
      <c r="N1" s="18"/>
      <c r="O1" s="18"/>
      <c r="P1" s="18"/>
      <c r="R1" s="18"/>
      <c r="S1" s="18"/>
      <c r="T1" s="18"/>
    </row>
    <row r="2" spans="1:20" s="7" customFormat="1" ht="16" x14ac:dyDescent="0.2">
      <c r="A2" s="23"/>
      <c r="B2" s="46"/>
      <c r="C2" s="46"/>
      <c r="D2" s="49"/>
      <c r="E2" s="58"/>
      <c r="F2" s="58"/>
      <c r="G2" s="58"/>
      <c r="H2" s="295" t="str">
        <f>Product!I2</f>
        <v>Template March 2020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6" x14ac:dyDescent="0.2">
      <c r="A3" s="23"/>
      <c r="B3" s="46"/>
      <c r="C3" s="46"/>
      <c r="D3" s="49"/>
      <c r="E3" s="104"/>
      <c r="F3" s="104"/>
      <c r="G3" s="104"/>
      <c r="H3" s="237" t="str">
        <f>Product!H4</f>
        <v>Date:</v>
      </c>
      <c r="I3" s="105">
        <f>Product!I4</f>
        <v>0</v>
      </c>
      <c r="J3" s="18"/>
      <c r="K3" s="104"/>
      <c r="L3" s="58"/>
      <c r="M3" s="18"/>
      <c r="N3" s="18"/>
      <c r="O3" s="18"/>
      <c r="P3" s="104"/>
      <c r="Q3" s="58"/>
      <c r="R3" s="18"/>
      <c r="S3" s="18"/>
      <c r="T3" s="18"/>
    </row>
    <row r="4" spans="1:20" s="7" customFormat="1" ht="16" x14ac:dyDescent="0.2">
      <c r="A4" s="670" t="str">
        <f>Product!A4</f>
        <v>Contract number:</v>
      </c>
      <c r="B4" s="671"/>
      <c r="C4" s="717">
        <f>Product!C4</f>
        <v>0</v>
      </c>
      <c r="D4" s="717"/>
      <c r="E4" s="717"/>
      <c r="F4" s="717"/>
      <c r="G4" s="104"/>
      <c r="H4" s="254" t="str">
        <f>Product!H5</f>
        <v>Version:</v>
      </c>
      <c r="I4" s="106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6" x14ac:dyDescent="0.2">
      <c r="A5" s="670" t="str">
        <f>Product!A5</f>
        <v>Licence Holder:</v>
      </c>
      <c r="B5" s="671"/>
      <c r="C5" s="717">
        <f>Product!C5</f>
        <v>0</v>
      </c>
      <c r="D5" s="717"/>
      <c r="E5" s="717"/>
      <c r="F5" s="717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6" x14ac:dyDescent="0.2">
      <c r="A6" s="670" t="str">
        <f>Product!A6</f>
        <v>Distributor / Product name (Country):</v>
      </c>
      <c r="B6" s="671"/>
      <c r="C6" s="717">
        <f>Product!C6</f>
        <v>0</v>
      </c>
      <c r="D6" s="717"/>
      <c r="E6" s="717"/>
      <c r="F6" s="717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6" x14ac:dyDescent="0.2">
      <c r="A7" s="670" t="str">
        <f>Product!A22</f>
        <v>Type of product:</v>
      </c>
      <c r="B7" s="671"/>
      <c r="C7" s="717">
        <f>Product!C22</f>
        <v>0</v>
      </c>
      <c r="D7" s="717"/>
      <c r="E7" s="717"/>
      <c r="F7" s="717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4" thickBot="1" x14ac:dyDescent="0.2">
      <c r="A8" s="670" t="str">
        <f>Product!A24</f>
        <v>Form of product:</v>
      </c>
      <c r="B8" s="671"/>
      <c r="C8" s="717">
        <f>Product!C24</f>
        <v>0</v>
      </c>
      <c r="D8" s="717"/>
      <c r="E8" s="717"/>
      <c r="F8" s="718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</row>
    <row r="9" spans="1:20" ht="15" customHeight="1" x14ac:dyDescent="0.15">
      <c r="A9" s="315"/>
      <c r="B9" s="255"/>
      <c r="C9" s="255"/>
      <c r="D9" s="255"/>
      <c r="E9" s="255"/>
      <c r="F9" s="719" t="str">
        <f>IF(Product!$C$2=Languages!A3,Languages!A210,Languages!B210)</f>
        <v>for soft water (&lt;1,5 mmol CaCO3/l)</v>
      </c>
      <c r="G9" s="720"/>
      <c r="H9" s="720"/>
      <c r="I9" s="720"/>
      <c r="J9" s="721"/>
      <c r="K9" s="714" t="str">
        <f>IF(Product!$C$2=Languages!A3,Languages!A211,Languages!B211)</f>
        <v>for medium water (1,5 – 2,5 mmol CaCO3/l)</v>
      </c>
      <c r="L9" s="715"/>
      <c r="M9" s="715"/>
      <c r="N9" s="715"/>
      <c r="O9" s="716"/>
      <c r="P9" s="714" t="str">
        <f>IF(Product!$C$2=Languages!A3,Languages!A212,Languages!B212)</f>
        <v>for hard water (&gt;2,5 mmol CaCO3/l)</v>
      </c>
      <c r="Q9" s="715"/>
      <c r="R9" s="715"/>
      <c r="S9" s="715"/>
      <c r="T9" s="716"/>
    </row>
    <row r="10" spans="1:20" s="7" customFormat="1" ht="46.5" customHeight="1" x14ac:dyDescent="0.15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IF(Product!$C$2=Languages!A3,Languages!A96,Languages!B96)</f>
        <v xml:space="preserve">Surfactant not readily biodegradable </v>
      </c>
      <c r="E10" s="373" t="str">
        <f>IF(Product!$C$2=Languages!A3,Languages!A97,Languages!B97)</f>
        <v xml:space="preserve">Surfactant (H400/H412) anaerobically non-biodegradable </v>
      </c>
      <c r="F10" s="378" t="str">
        <f>IF(Product!$C$2=Languages!A3,Languages!A51,Languages!B51)</f>
        <v>dosage</v>
      </c>
      <c r="G10" s="100" t="str">
        <f>IF(Product!$C$2=Languages!A3,Languages!A90,Languages!B90)</f>
        <v>CDV chron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379" t="str">
        <f>'Ingoing Substances'!U10</f>
        <v>elemental phosphorus</v>
      </c>
      <c r="K10" s="378" t="str">
        <f>F10</f>
        <v>dosage</v>
      </c>
      <c r="L10" s="100" t="str">
        <f t="shared" ref="L10:O11" si="0">G10</f>
        <v>CDV chron</v>
      </c>
      <c r="M10" s="100" t="str">
        <f t="shared" si="0"/>
        <v>Organic substance not readily biodegradable</v>
      </c>
      <c r="N10" s="100" t="str">
        <f t="shared" si="0"/>
        <v>Organic substance anaerobically non-biodegradable</v>
      </c>
      <c r="O10" s="390" t="str">
        <f t="shared" si="0"/>
        <v>elemental phosphorus</v>
      </c>
      <c r="P10" s="378" t="str">
        <f>K10</f>
        <v>dosage</v>
      </c>
      <c r="Q10" s="100" t="str">
        <f t="shared" ref="Q10:Q11" si="1">L10</f>
        <v>CDV chron</v>
      </c>
      <c r="R10" s="100" t="str">
        <f t="shared" ref="R10:R11" si="2">M10</f>
        <v>Organic substance not readily biodegradable</v>
      </c>
      <c r="S10" s="100" t="str">
        <f t="shared" ref="S10:S11" si="3">N10</f>
        <v>Organic substance anaerobically non-biodegradable</v>
      </c>
      <c r="T10" s="390" t="str">
        <f t="shared" ref="T10:T11" si="4">O10</f>
        <v>elemental phosphorus</v>
      </c>
    </row>
    <row r="11" spans="1:20" s="7" customFormat="1" ht="34.5" customHeight="1" x14ac:dyDescent="0.15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C11</f>
        <v>mass-% (=g/100g product)</v>
      </c>
      <c r="E11" s="374" t="str">
        <f>C11</f>
        <v>mass-% (=g/100g product)</v>
      </c>
      <c r="F11" s="380" t="str">
        <f>IF(Product!$C$2=Languages!A3,Languages!A52,Languages!B52)</f>
        <v>(in g/...)</v>
      </c>
      <c r="G11" s="86" t="str">
        <f>IF(Product!$C$2=Languages!A3,Languages!A98,Languages!B98)</f>
        <v>(in l/...)</v>
      </c>
      <c r="H11" s="86" t="str">
        <f>F11</f>
        <v>(in g/...)</v>
      </c>
      <c r="I11" s="86" t="str">
        <f>H11</f>
        <v>(in g/...)</v>
      </c>
      <c r="J11" s="381" t="str">
        <f>I11</f>
        <v>(in g/...)</v>
      </c>
      <c r="K11" s="380" t="str">
        <f>F11</f>
        <v>(in g/...)</v>
      </c>
      <c r="L11" s="86" t="str">
        <f t="shared" si="0"/>
        <v>(in l/...)</v>
      </c>
      <c r="M11" s="86" t="str">
        <f t="shared" si="0"/>
        <v>(in g/...)</v>
      </c>
      <c r="N11" s="86" t="str">
        <f t="shared" si="0"/>
        <v>(in g/...)</v>
      </c>
      <c r="O11" s="381" t="str">
        <f t="shared" si="0"/>
        <v>(in g/...)</v>
      </c>
      <c r="P11" s="380" t="str">
        <f>K11</f>
        <v>(in g/...)</v>
      </c>
      <c r="Q11" s="86" t="str">
        <f t="shared" si="1"/>
        <v>(in l/...)</v>
      </c>
      <c r="R11" s="86" t="str">
        <f t="shared" si="2"/>
        <v>(in g/...)</v>
      </c>
      <c r="S11" s="86" t="str">
        <f t="shared" si="3"/>
        <v>(in g/...)</v>
      </c>
      <c r="T11" s="381" t="str">
        <f t="shared" si="4"/>
        <v>(in g/...)</v>
      </c>
    </row>
    <row r="12" spans="1:20" ht="12.75" customHeight="1" x14ac:dyDescent="0.15">
      <c r="A12" s="37">
        <v>1</v>
      </c>
      <c r="B12" s="325" t="str">
        <f>'Formulation Pre-Products'!B12</f>
        <v>water</v>
      </c>
      <c r="C12" s="120" t="str">
        <f>'Ingoing substances_DID'!G12</f>
        <v/>
      </c>
      <c r="D12" s="327" t="s">
        <v>7</v>
      </c>
      <c r="E12" s="375" t="s">
        <v>7</v>
      </c>
      <c r="F12" s="382"/>
      <c r="G12" s="160"/>
      <c r="H12" s="326" t="s">
        <v>7</v>
      </c>
      <c r="I12" s="326" t="s">
        <v>7</v>
      </c>
      <c r="J12" s="383" t="s">
        <v>7</v>
      </c>
      <c r="K12" s="382"/>
      <c r="L12" s="160"/>
      <c r="M12" s="326" t="s">
        <v>7</v>
      </c>
      <c r="N12" s="326" t="s">
        <v>7</v>
      </c>
      <c r="O12" s="383" t="s">
        <v>7</v>
      </c>
      <c r="P12" s="382"/>
      <c r="Q12" s="160"/>
      <c r="R12" s="326" t="s">
        <v>7</v>
      </c>
      <c r="S12" s="326" t="s">
        <v>7</v>
      </c>
      <c r="T12" s="383" t="s">
        <v>7</v>
      </c>
    </row>
    <row r="13" spans="1:20" x14ac:dyDescent="0.15">
      <c r="A13" s="37">
        <v>2</v>
      </c>
      <c r="B13" s="328" t="str">
        <f>IF('Ingoing substances_DID'!B13="","",'Ingoing substances_DID'!B13)</f>
        <v/>
      </c>
      <c r="C13" s="329" t="str">
        <f>IF('Ingoing substances_DID'!G13="","",'Ingoing substances_DID'!G13)</f>
        <v/>
      </c>
      <c r="D13" s="331" t="str">
        <f>IF(OR('Ingoing Substances'!Q13="N",'Ingoing substances_DID'!O13="R"),"",C13)</f>
        <v/>
      </c>
      <c r="E13" s="376" t="str">
        <f>IF(OR('Ingoing Substances'!T13="N",'Ingoing substances_DID'!P13="Y"),"",C13)</f>
        <v/>
      </c>
      <c r="F13" s="384" t="str">
        <f>IF(B13="","",C13*Product!$C$36/100)</f>
        <v/>
      </c>
      <c r="G13" s="330" t="str">
        <f>IF(B13="","",F13*'Ingoing substances_DID'!M13/'Ingoing substances_DID'!N13*1000)</f>
        <v/>
      </c>
      <c r="H13" s="332" t="str">
        <f>IF(B13="","",(IF(OR('Ingoing Substances'!O13="N",'Ingoing substances_DID'!O13="R"),"",F13)))</f>
        <v/>
      </c>
      <c r="I13" s="332" t="str">
        <f>IF(B13="","",IF(OR('Ingoing Substances'!O13="N",'Ingoing substances_DID'!Q13="Y"),"",F13))</f>
        <v/>
      </c>
      <c r="J13" s="385" t="str">
        <f>IF('Ingoing Substances'!U13="","",'Ingoing Substances'!U13*F13/100)</f>
        <v/>
      </c>
      <c r="K13" s="384" t="str">
        <f>IF(B13="","",C13*Product!$D$36/100)</f>
        <v/>
      </c>
      <c r="L13" s="330" t="str">
        <f>IF(B13="","",K13*'Ingoing substances_DID'!M13/'Ingoing substances_DID'!N13*1000)</f>
        <v/>
      </c>
      <c r="M13" s="332" t="str">
        <f>IF(B13="","",(IF(OR('Ingoing Substances'!O13="N",'Ingoing substances_DID'!O13="R"),"",K13)))</f>
        <v/>
      </c>
      <c r="N13" s="332" t="str">
        <f>IF(B13="","",IF(OR('Ingoing Substances'!O13="N",'Ingoing substances_DID'!Q13="Y"),"",K13))</f>
        <v/>
      </c>
      <c r="O13" s="385" t="str">
        <f>IF('Ingoing Substances'!U13="","",'Ingoing Substances'!U13*K13/100)</f>
        <v/>
      </c>
      <c r="P13" s="384" t="str">
        <f>IF(B13="","",C13*Product!$E$36/100)</f>
        <v/>
      </c>
      <c r="Q13" s="330" t="str">
        <f>IF(B13="","",P13*'Ingoing substances_DID'!M13/'Ingoing substances_DID'!N13*1000)</f>
        <v/>
      </c>
      <c r="R13" s="332" t="str">
        <f>IF(B13="","",(IF(OR('Ingoing Substances'!O13="N",'Ingoing substances_DID'!O13="R"),"",P13)))</f>
        <v/>
      </c>
      <c r="S13" s="332" t="str">
        <f>IF(B13="","",IF(OR('Ingoing Substances'!O13="N",'Ingoing substances_DID'!Q13="Y"),"",P13))</f>
        <v/>
      </c>
      <c r="T13" s="385" t="str">
        <f>IF('Ingoing Substances'!U13="","",'Ingoing Substances'!U13*P13/100)</f>
        <v/>
      </c>
    </row>
    <row r="14" spans="1:20" x14ac:dyDescent="0.15">
      <c r="A14" s="37">
        <v>3</v>
      </c>
      <c r="B14" s="328" t="str">
        <f>IF('Ingoing substances_DID'!B14="","",'Ingoing substances_DID'!B14)</f>
        <v/>
      </c>
      <c r="C14" s="329" t="str">
        <f>IF('Ingoing substances_DID'!G14="","",'Ingoing substances_DID'!G14)</f>
        <v/>
      </c>
      <c r="D14" s="331" t="str">
        <f>IF(OR('Ingoing Substances'!Q14="N",'Ingoing substances_DID'!O14="R"),"",C14)</f>
        <v/>
      </c>
      <c r="E14" s="376" t="str">
        <f>IF(OR('Ingoing Substances'!T14="N",'Ingoing substances_DID'!P14="Y"),"",C14)</f>
        <v/>
      </c>
      <c r="F14" s="384" t="str">
        <f>IF(B14="","",C14*Product!$C$36/100)</f>
        <v/>
      </c>
      <c r="G14" s="330" t="str">
        <f>IF(B14="","",F14*'Ingoing substances_DID'!M14/'Ingoing substances_DID'!N14*1000)</f>
        <v/>
      </c>
      <c r="H14" s="331" t="str">
        <f>IF(B14="","",(IF(OR('Ingoing Substances'!O14="N",'Ingoing substances_DID'!O14="R"),"",F14)))</f>
        <v/>
      </c>
      <c r="I14" s="331" t="str">
        <f>IF(B14="","",IF(OR('Ingoing Substances'!O14="N",'Ingoing substances_DID'!Q14="Y"),"",F14))</f>
        <v/>
      </c>
      <c r="J14" s="385" t="str">
        <f>IF('Ingoing Substances'!U14="","",'Ingoing Substances'!U14*F14/100)</f>
        <v/>
      </c>
      <c r="K14" s="384" t="str">
        <f>IF(B14="","",C14*Product!$D$36/100)</f>
        <v/>
      </c>
      <c r="L14" s="330" t="str">
        <f>IF(B14="","",K14*'Ingoing substances_DID'!M14/'Ingoing substances_DID'!N14*1000)</f>
        <v/>
      </c>
      <c r="M14" s="332" t="str">
        <f>IF(B14="","",(IF(OR('Ingoing Substances'!O14="N",'Ingoing substances_DID'!O14="R"),"",K14)))</f>
        <v/>
      </c>
      <c r="N14" s="332" t="str">
        <f>IF(B14="","",IF(OR('Ingoing Substances'!O14="N",'Ingoing substances_DID'!Q14="Y"),"",K14))</f>
        <v/>
      </c>
      <c r="O14" s="385" t="str">
        <f>IF('Ingoing Substances'!U14="","",'Ingoing Substances'!U14*K14/100)</f>
        <v/>
      </c>
      <c r="P14" s="384" t="str">
        <f>IF(B14="","",C14*Product!$E$36/100)</f>
        <v/>
      </c>
      <c r="Q14" s="330" t="str">
        <f>IF(B14="","",P14*'Ingoing substances_DID'!M14/'Ingoing substances_DID'!N14*1000)</f>
        <v/>
      </c>
      <c r="R14" s="332" t="str">
        <f>IF(B14="","",(IF(OR('Ingoing Substances'!O14="N",'Ingoing substances_DID'!O14="R"),"",P14)))</f>
        <v/>
      </c>
      <c r="S14" s="332" t="str">
        <f>IF(B14="","",IF(OR('Ingoing Substances'!O14="N",'Ingoing substances_DID'!Q14="Y"),"",P14))</f>
        <v/>
      </c>
      <c r="T14" s="385" t="str">
        <f>IF('Ingoing Substances'!U14="","",'Ingoing Substances'!U14*P14/100)</f>
        <v/>
      </c>
    </row>
    <row r="15" spans="1:20" x14ac:dyDescent="0.15">
      <c r="A15" s="37">
        <v>4</v>
      </c>
      <c r="B15" s="328" t="str">
        <f>IF('Ingoing substances_DID'!B15="","",'Ingoing substances_DID'!B15)</f>
        <v/>
      </c>
      <c r="C15" s="329" t="str">
        <f>IF('Ingoing substances_DID'!G15="","",'Ingoing substances_DID'!G15)</f>
        <v/>
      </c>
      <c r="D15" s="331" t="str">
        <f>IF(OR('Ingoing Substances'!Q15="N",'Ingoing substances_DID'!O15="R"),"",C15)</f>
        <v/>
      </c>
      <c r="E15" s="376" t="str">
        <f>IF(OR('Ingoing Substances'!T15="N",'Ingoing substances_DID'!P15="Y"),"",C15)</f>
        <v/>
      </c>
      <c r="F15" s="384" t="str">
        <f>IF(B15="","",C15*Product!$C$36/100)</f>
        <v/>
      </c>
      <c r="G15" s="330" t="str">
        <f>IF(B15="","",F15*'Ingoing substances_DID'!M15/'Ingoing substances_DID'!N15*1000)</f>
        <v/>
      </c>
      <c r="H15" s="331" t="str">
        <f>IF(B15="","",(IF(OR('Ingoing Substances'!O15="N",'Ingoing substances_DID'!O15="R"),"",F15)))</f>
        <v/>
      </c>
      <c r="I15" s="331" t="str">
        <f>IF(B15="","",IF(OR('Ingoing Substances'!O15="N",'Ingoing substances_DID'!Q15="Y"),"",F15))</f>
        <v/>
      </c>
      <c r="J15" s="385" t="str">
        <f>IF('Ingoing Substances'!U15="","",'Ingoing Substances'!U15*F15/100)</f>
        <v/>
      </c>
      <c r="K15" s="384" t="str">
        <f>IF(B15="","",C15*Product!$D$36/100)</f>
        <v/>
      </c>
      <c r="L15" s="330" t="str">
        <f>IF(B15="","",K15*'Ingoing substances_DID'!M15/'Ingoing substances_DID'!N15*1000)</f>
        <v/>
      </c>
      <c r="M15" s="332" t="str">
        <f>IF(B15="","",(IF(OR('Ingoing Substances'!O15="N",'Ingoing substances_DID'!O15="R"),"",K15)))</f>
        <v/>
      </c>
      <c r="N15" s="332" t="str">
        <f>IF(B15="","",IF(OR('Ingoing Substances'!O15="N",'Ingoing substances_DID'!Q15="Y"),"",K15))</f>
        <v/>
      </c>
      <c r="O15" s="385" t="str">
        <f>IF('Ingoing Substances'!U15="","",'Ingoing Substances'!U15*K15/100)</f>
        <v/>
      </c>
      <c r="P15" s="384" t="str">
        <f>IF(B15="","",C15*Product!$E$36/100)</f>
        <v/>
      </c>
      <c r="Q15" s="330" t="str">
        <f>IF(B15="","",P15*'Ingoing substances_DID'!M15/'Ingoing substances_DID'!N15*1000)</f>
        <v/>
      </c>
      <c r="R15" s="332" t="str">
        <f>IF(B15="","",(IF(OR('Ingoing Substances'!O15="N",'Ingoing substances_DID'!O15="R"),"",P15)))</f>
        <v/>
      </c>
      <c r="S15" s="332" t="str">
        <f>IF(B15="","",IF(OR('Ingoing Substances'!O15="N",'Ingoing substances_DID'!Q15="Y"),"",P15))</f>
        <v/>
      </c>
      <c r="T15" s="385" t="str">
        <f>IF('Ingoing Substances'!U15="","",'Ingoing Substances'!U15*P15/100)</f>
        <v/>
      </c>
    </row>
    <row r="16" spans="1:20" x14ac:dyDescent="0.15">
      <c r="A16" s="37">
        <v>5</v>
      </c>
      <c r="B16" s="328" t="str">
        <f>IF('Ingoing substances_DID'!B16="","",'Ingoing substances_DID'!B16)</f>
        <v/>
      </c>
      <c r="C16" s="329" t="str">
        <f>IF('Ingoing substances_DID'!G16="","",'Ingoing substances_DID'!G16)</f>
        <v/>
      </c>
      <c r="D16" s="331" t="str">
        <f>IF(OR('Ingoing Substances'!Q16="N",'Ingoing substances_DID'!O16="R"),"",C16)</f>
        <v/>
      </c>
      <c r="E16" s="376" t="str">
        <f>IF(OR('Ingoing Substances'!T16="N",'Ingoing substances_DID'!P16="Y"),"",C16)</f>
        <v/>
      </c>
      <c r="F16" s="384" t="str">
        <f>IF(B16="","",C16*Product!$C$36/100)</f>
        <v/>
      </c>
      <c r="G16" s="330" t="str">
        <f>IF(B16="","",F16*'Ingoing substances_DID'!M16/'Ingoing substances_DID'!N16*1000)</f>
        <v/>
      </c>
      <c r="H16" s="331" t="str">
        <f>IF(B16="","",(IF(OR('Ingoing Substances'!O16="N",'Ingoing substances_DID'!O16="R"),"",F16)))</f>
        <v/>
      </c>
      <c r="I16" s="331" t="str">
        <f>IF(B16="","",IF(OR('Ingoing Substances'!O16="N",'Ingoing substances_DID'!Q16="Y"),"",F16))</f>
        <v/>
      </c>
      <c r="J16" s="385" t="str">
        <f>IF('Ingoing Substances'!U16="","",'Ingoing Substances'!U16*F16/100)</f>
        <v/>
      </c>
      <c r="K16" s="384" t="str">
        <f>IF(B16="","",C16*Product!$D$36/100)</f>
        <v/>
      </c>
      <c r="L16" s="330" t="str">
        <f>IF(B16="","",K16*'Ingoing substances_DID'!M16/'Ingoing substances_DID'!N16*1000)</f>
        <v/>
      </c>
      <c r="M16" s="332" t="str">
        <f>IF(B16="","",(IF(OR('Ingoing Substances'!O16="N",'Ingoing substances_DID'!O16="R"),"",K16)))</f>
        <v/>
      </c>
      <c r="N16" s="332" t="str">
        <f>IF(B16="","",IF(OR('Ingoing Substances'!O16="N",'Ingoing substances_DID'!Q16="Y"),"",K16))</f>
        <v/>
      </c>
      <c r="O16" s="385" t="str">
        <f>IF('Ingoing Substances'!U16="","",'Ingoing Substances'!U16*K16/100)</f>
        <v/>
      </c>
      <c r="P16" s="384" t="str">
        <f>IF(B16="","",C16*Product!$E$36/100)</f>
        <v/>
      </c>
      <c r="Q16" s="330" t="str">
        <f>IF(B16="","",P16*'Ingoing substances_DID'!M16/'Ingoing substances_DID'!N16*1000)</f>
        <v/>
      </c>
      <c r="R16" s="332" t="str">
        <f>IF(B16="","",(IF(OR('Ingoing Substances'!O16="N",'Ingoing substances_DID'!O16="R"),"",P16)))</f>
        <v/>
      </c>
      <c r="S16" s="332" t="str">
        <f>IF(B16="","",IF(OR('Ingoing Substances'!O16="N",'Ingoing substances_DID'!Q16="Y"),"",P16))</f>
        <v/>
      </c>
      <c r="T16" s="385" t="str">
        <f>IF('Ingoing Substances'!U16="","",'Ingoing Substances'!U16*P16/100)</f>
        <v/>
      </c>
    </row>
    <row r="17" spans="1:20" x14ac:dyDescent="0.15">
      <c r="A17" s="37">
        <v>6</v>
      </c>
      <c r="B17" s="328" t="str">
        <f>IF('Ingoing substances_DID'!B17="","",'Ingoing substances_DID'!B17)</f>
        <v/>
      </c>
      <c r="C17" s="329" t="str">
        <f>IF('Ingoing substances_DID'!G17="","",'Ingoing substances_DID'!G17)</f>
        <v/>
      </c>
      <c r="D17" s="331" t="str">
        <f>IF(OR('Ingoing Substances'!Q17="N",'Ingoing substances_DID'!O17="R"),"",C17)</f>
        <v/>
      </c>
      <c r="E17" s="376" t="str">
        <f>IF(OR('Ingoing Substances'!T17="N",'Ingoing substances_DID'!P17="Y"),"",C17)</f>
        <v/>
      </c>
      <c r="F17" s="384" t="str">
        <f>IF(B17="","",C17*Product!$C$36/100)</f>
        <v/>
      </c>
      <c r="G17" s="330" t="str">
        <f>IF(B17="","",F17*'Ingoing substances_DID'!M17/'Ingoing substances_DID'!N17*1000)</f>
        <v/>
      </c>
      <c r="H17" s="331" t="str">
        <f>IF(B17="","",(IF(OR('Ingoing Substances'!O17="N",'Ingoing substances_DID'!O17="R"),"",F17)))</f>
        <v/>
      </c>
      <c r="I17" s="331" t="str">
        <f>IF(B17="","",IF(OR('Ingoing Substances'!O17="N",'Ingoing substances_DID'!Q17="Y"),"",F17))</f>
        <v/>
      </c>
      <c r="J17" s="385" t="str">
        <f>IF('Ingoing Substances'!U17="","",'Ingoing Substances'!U17*F17/100)</f>
        <v/>
      </c>
      <c r="K17" s="384" t="str">
        <f>IF(B17="","",C17*Product!$D$36/100)</f>
        <v/>
      </c>
      <c r="L17" s="330" t="str">
        <f>IF(B17="","",K17*'Ingoing substances_DID'!M17/'Ingoing substances_DID'!N17*1000)</f>
        <v/>
      </c>
      <c r="M17" s="332" t="str">
        <f>IF(B17="","",(IF(OR('Ingoing Substances'!O17="N",'Ingoing substances_DID'!O17="R"),"",K17)))</f>
        <v/>
      </c>
      <c r="N17" s="332" t="str">
        <f>IF(B17="","",IF(OR('Ingoing Substances'!O17="N",'Ingoing substances_DID'!Q17="Y"),"",K17))</f>
        <v/>
      </c>
      <c r="O17" s="385" t="str">
        <f>IF('Ingoing Substances'!U17="","",'Ingoing Substances'!U17*K17/100)</f>
        <v/>
      </c>
      <c r="P17" s="384" t="str">
        <f>IF(B17="","",C17*Product!$E$36/100)</f>
        <v/>
      </c>
      <c r="Q17" s="330" t="str">
        <f>IF(B17="","",P17*'Ingoing substances_DID'!M17/'Ingoing substances_DID'!N17*1000)</f>
        <v/>
      </c>
      <c r="R17" s="332" t="str">
        <f>IF(B17="","",(IF(OR('Ingoing Substances'!O17="N",'Ingoing substances_DID'!O17="R"),"",P17)))</f>
        <v/>
      </c>
      <c r="S17" s="332" t="str">
        <f>IF(B17="","",IF(OR('Ingoing Substances'!O17="N",'Ingoing substances_DID'!Q17="Y"),"",P17))</f>
        <v/>
      </c>
      <c r="T17" s="385" t="str">
        <f>IF('Ingoing Substances'!U17="","",'Ingoing Substances'!U17*P17/100)</f>
        <v/>
      </c>
    </row>
    <row r="18" spans="1:20" x14ac:dyDescent="0.15">
      <c r="A18" s="37">
        <v>7</v>
      </c>
      <c r="B18" s="328" t="str">
        <f>IF('Ingoing substances_DID'!B18="","",'Ingoing substances_DID'!B18)</f>
        <v/>
      </c>
      <c r="C18" s="329" t="str">
        <f>IF('Ingoing substances_DID'!G18="","",'Ingoing substances_DID'!G18)</f>
        <v/>
      </c>
      <c r="D18" s="331" t="str">
        <f>IF(OR('Ingoing Substances'!Q18="N",'Ingoing substances_DID'!O18="R"),"",C18)</f>
        <v/>
      </c>
      <c r="E18" s="376" t="str">
        <f>IF(OR('Ingoing Substances'!T18="N",'Ingoing substances_DID'!P18="Y"),"",C18)</f>
        <v/>
      </c>
      <c r="F18" s="384" t="str">
        <f>IF(B18="","",C18*Product!$C$36/100)</f>
        <v/>
      </c>
      <c r="G18" s="330" t="str">
        <f>IF(B18="","",F18*'Ingoing substances_DID'!M18/'Ingoing substances_DID'!N18*1000)</f>
        <v/>
      </c>
      <c r="H18" s="331" t="str">
        <f>IF(B18="","",(IF(OR('Ingoing Substances'!O18="N",'Ingoing substances_DID'!O18="R"),"",F18)))</f>
        <v/>
      </c>
      <c r="I18" s="331" t="str">
        <f>IF(B18="","",IF(OR('Ingoing Substances'!O18="N",'Ingoing substances_DID'!Q18="Y"),"",F18))</f>
        <v/>
      </c>
      <c r="J18" s="385" t="str">
        <f>IF('Ingoing Substances'!U18="","",'Ingoing Substances'!U18*F18/100)</f>
        <v/>
      </c>
      <c r="K18" s="384" t="str">
        <f>IF(B18="","",C18*Product!$D$36/100)</f>
        <v/>
      </c>
      <c r="L18" s="330" t="str">
        <f>IF(B18="","",K18*'Ingoing substances_DID'!M18/'Ingoing substances_DID'!N18*1000)</f>
        <v/>
      </c>
      <c r="M18" s="332" t="str">
        <f>IF(B18="","",(IF(OR('Ingoing Substances'!O18="N",'Ingoing substances_DID'!O18="R"),"",K18)))</f>
        <v/>
      </c>
      <c r="N18" s="332" t="str">
        <f>IF(B18="","",IF(OR('Ingoing Substances'!O18="N",'Ingoing substances_DID'!Q18="Y"),"",K18))</f>
        <v/>
      </c>
      <c r="O18" s="385" t="str">
        <f>IF('Ingoing Substances'!U18="","",'Ingoing Substances'!U18*K18/100)</f>
        <v/>
      </c>
      <c r="P18" s="384" t="str">
        <f>IF(B18="","",C18*Product!$E$36/100)</f>
        <v/>
      </c>
      <c r="Q18" s="330" t="str">
        <f>IF(B18="","",P18*'Ingoing substances_DID'!M18/'Ingoing substances_DID'!N18*1000)</f>
        <v/>
      </c>
      <c r="R18" s="332" t="str">
        <f>IF(B18="","",(IF(OR('Ingoing Substances'!O18="N",'Ingoing substances_DID'!O18="R"),"",P18)))</f>
        <v/>
      </c>
      <c r="S18" s="332" t="str">
        <f>IF(B18="","",IF(OR('Ingoing Substances'!O18="N",'Ingoing substances_DID'!Q18="Y"),"",P18))</f>
        <v/>
      </c>
      <c r="T18" s="385" t="str">
        <f>IF('Ingoing Substances'!U18="","",'Ingoing Substances'!U18*P18/100)</f>
        <v/>
      </c>
    </row>
    <row r="19" spans="1:20" x14ac:dyDescent="0.15">
      <c r="A19" s="37">
        <v>8</v>
      </c>
      <c r="B19" s="328" t="str">
        <f>IF('Ingoing substances_DID'!B19="","",'Ingoing substances_DID'!B19)</f>
        <v/>
      </c>
      <c r="C19" s="329" t="str">
        <f>IF('Ingoing substances_DID'!G19="","",'Ingoing substances_DID'!G19)</f>
        <v/>
      </c>
      <c r="D19" s="331" t="str">
        <f>IF(OR('Ingoing Substances'!Q19="N",'Ingoing substances_DID'!O19="R"),"",C19)</f>
        <v/>
      </c>
      <c r="E19" s="376" t="str">
        <f>IF(OR('Ingoing Substances'!T19="N",'Ingoing substances_DID'!P19="Y"),"",C19)</f>
        <v/>
      </c>
      <c r="F19" s="384" t="str">
        <f>IF(B19="","",C19*Product!$C$36/100)</f>
        <v/>
      </c>
      <c r="G19" s="330" t="str">
        <f>IF(B19="","",F19*'Ingoing substances_DID'!M19/'Ingoing substances_DID'!N19*1000)</f>
        <v/>
      </c>
      <c r="H19" s="331" t="str">
        <f>IF(B19="","",(IF(OR('Ingoing Substances'!O19="N",'Ingoing substances_DID'!O19="R"),"",F19)))</f>
        <v/>
      </c>
      <c r="I19" s="331" t="str">
        <f>IF(B19="","",IF(OR('Ingoing Substances'!O19="N",'Ingoing substances_DID'!Q19="Y"),"",F19))</f>
        <v/>
      </c>
      <c r="J19" s="385" t="str">
        <f>IF('Ingoing Substances'!U19="","",'Ingoing Substances'!U19*F19/100)</f>
        <v/>
      </c>
      <c r="K19" s="384" t="str">
        <f>IF(B19="","",C19*Product!$D$36/100)</f>
        <v/>
      </c>
      <c r="L19" s="330" t="str">
        <f>IF(B19="","",K19*'Ingoing substances_DID'!M19/'Ingoing substances_DID'!N19*1000)</f>
        <v/>
      </c>
      <c r="M19" s="332" t="str">
        <f>IF(B19="","",(IF(OR('Ingoing Substances'!O19="N",'Ingoing substances_DID'!O19="R"),"",K19)))</f>
        <v/>
      </c>
      <c r="N19" s="332" t="str">
        <f>IF(B19="","",IF(OR('Ingoing Substances'!O19="N",'Ingoing substances_DID'!Q19="Y"),"",K19))</f>
        <v/>
      </c>
      <c r="O19" s="385" t="str">
        <f>IF('Ingoing Substances'!U19="","",'Ingoing Substances'!U19*K19/100)</f>
        <v/>
      </c>
      <c r="P19" s="384" t="str">
        <f>IF(B19="","",C19*Product!$E$36/100)</f>
        <v/>
      </c>
      <c r="Q19" s="330" t="str">
        <f>IF(B19="","",P19*'Ingoing substances_DID'!M19/'Ingoing substances_DID'!N19*1000)</f>
        <v/>
      </c>
      <c r="R19" s="332" t="str">
        <f>IF(B19="","",(IF(OR('Ingoing Substances'!O19="N",'Ingoing substances_DID'!O19="R"),"",P19)))</f>
        <v/>
      </c>
      <c r="S19" s="332" t="str">
        <f>IF(B19="","",IF(OR('Ingoing Substances'!O19="N",'Ingoing substances_DID'!Q19="Y"),"",P19))</f>
        <v/>
      </c>
      <c r="T19" s="385" t="str">
        <f>IF('Ingoing Substances'!U19="","",'Ingoing Substances'!U19*P19/100)</f>
        <v/>
      </c>
    </row>
    <row r="20" spans="1:20" x14ac:dyDescent="0.15">
      <c r="A20" s="37">
        <v>9</v>
      </c>
      <c r="B20" s="328" t="str">
        <f>IF('Ingoing substances_DID'!B20="","",'Ingoing substances_DID'!B20)</f>
        <v/>
      </c>
      <c r="C20" s="329" t="str">
        <f>IF('Ingoing substances_DID'!G20="","",'Ingoing substances_DID'!G20)</f>
        <v/>
      </c>
      <c r="D20" s="331" t="str">
        <f>IF(OR('Ingoing Substances'!Q20="N",'Ingoing substances_DID'!O20="R"),"",C20)</f>
        <v/>
      </c>
      <c r="E20" s="376" t="str">
        <f>IF(OR('Ingoing Substances'!T20="N",'Ingoing substances_DID'!P20="Y"),"",C20)</f>
        <v/>
      </c>
      <c r="F20" s="384" t="str">
        <f>IF(B20="","",C20*Product!$C$36/100)</f>
        <v/>
      </c>
      <c r="G20" s="330" t="str">
        <f>IF(B20="","",F20*'Ingoing substances_DID'!M20/'Ingoing substances_DID'!N20*1000)</f>
        <v/>
      </c>
      <c r="H20" s="331" t="str">
        <f>IF(B20="","",(IF(OR('Ingoing Substances'!O20="N",'Ingoing substances_DID'!O20="R"),"",F20)))</f>
        <v/>
      </c>
      <c r="I20" s="331" t="str">
        <f>IF(B20="","",IF(OR('Ingoing Substances'!O20="N",'Ingoing substances_DID'!Q20="Y"),"",F20))</f>
        <v/>
      </c>
      <c r="J20" s="385" t="str">
        <f>IF('Ingoing Substances'!U20="","",'Ingoing Substances'!U20*F20/100)</f>
        <v/>
      </c>
      <c r="K20" s="384" t="str">
        <f>IF(B20="","",C20*Product!$D$36/100)</f>
        <v/>
      </c>
      <c r="L20" s="330" t="str">
        <f>IF(B20="","",K20*'Ingoing substances_DID'!M20/'Ingoing substances_DID'!N20*1000)</f>
        <v/>
      </c>
      <c r="M20" s="332" t="str">
        <f>IF(B20="","",(IF(OR('Ingoing Substances'!O20="N",'Ingoing substances_DID'!O20="R"),"",K20)))</f>
        <v/>
      </c>
      <c r="N20" s="332" t="str">
        <f>IF(B20="","",IF(OR('Ingoing Substances'!O20="N",'Ingoing substances_DID'!Q20="Y"),"",K20))</f>
        <v/>
      </c>
      <c r="O20" s="385" t="str">
        <f>IF('Ingoing Substances'!U20="","",'Ingoing Substances'!U20*K20/100)</f>
        <v/>
      </c>
      <c r="P20" s="384" t="str">
        <f>IF(B20="","",C20*Product!$E$36/100)</f>
        <v/>
      </c>
      <c r="Q20" s="330" t="str">
        <f>IF(B20="","",P20*'Ingoing substances_DID'!M20/'Ingoing substances_DID'!N20*1000)</f>
        <v/>
      </c>
      <c r="R20" s="332" t="str">
        <f>IF(B20="","",(IF(OR('Ingoing Substances'!O20="N",'Ingoing substances_DID'!O20="R"),"",P20)))</f>
        <v/>
      </c>
      <c r="S20" s="332" t="str">
        <f>IF(B20="","",IF(OR('Ingoing Substances'!O20="N",'Ingoing substances_DID'!Q20="Y"),"",P20))</f>
        <v/>
      </c>
      <c r="T20" s="385" t="str">
        <f>IF('Ingoing Substances'!U20="","",'Ingoing Substances'!U20*P20/100)</f>
        <v/>
      </c>
    </row>
    <row r="21" spans="1:20" x14ac:dyDescent="0.15">
      <c r="A21" s="37">
        <v>10</v>
      </c>
      <c r="B21" s="328" t="str">
        <f>IF('Ingoing substances_DID'!B21="","",'Ingoing substances_DID'!B21)</f>
        <v/>
      </c>
      <c r="C21" s="329" t="str">
        <f>IF('Ingoing substances_DID'!G21="","",'Ingoing substances_DID'!G21)</f>
        <v/>
      </c>
      <c r="D21" s="331" t="str">
        <f>IF(OR('Ingoing Substances'!Q21="N",'Ingoing substances_DID'!O21="R"),"",C21)</f>
        <v/>
      </c>
      <c r="E21" s="376" t="str">
        <f>IF(OR('Ingoing Substances'!T21="N",'Ingoing substances_DID'!P21="Y"),"",C21)</f>
        <v/>
      </c>
      <c r="F21" s="384" t="str">
        <f>IF(B21="","",C21*Product!$C$36/100)</f>
        <v/>
      </c>
      <c r="G21" s="330" t="str">
        <f>IF(B21="","",F21*'Ingoing substances_DID'!M21/'Ingoing substances_DID'!N21*1000)</f>
        <v/>
      </c>
      <c r="H21" s="331" t="str">
        <f>IF(B21="","",(IF(OR('Ingoing Substances'!O21="N",'Ingoing substances_DID'!O21="R"),"",F21)))</f>
        <v/>
      </c>
      <c r="I21" s="331" t="str">
        <f>IF(B21="","",IF(OR('Ingoing Substances'!O21="N",'Ingoing substances_DID'!Q21="Y"),"",F21))</f>
        <v/>
      </c>
      <c r="J21" s="385" t="str">
        <f>IF('Ingoing Substances'!U21="","",'Ingoing Substances'!U21*F21/100)</f>
        <v/>
      </c>
      <c r="K21" s="384" t="str">
        <f>IF(B21="","",C21*Product!$D$36/100)</f>
        <v/>
      </c>
      <c r="L21" s="330" t="str">
        <f>IF(B21="","",K21*'Ingoing substances_DID'!M21/'Ingoing substances_DID'!N21*1000)</f>
        <v/>
      </c>
      <c r="M21" s="332" t="str">
        <f>IF(B21="","",(IF(OR('Ingoing Substances'!O21="N",'Ingoing substances_DID'!O21="R"),"",K21)))</f>
        <v/>
      </c>
      <c r="N21" s="332" t="str">
        <f>IF(B21="","",IF(OR('Ingoing Substances'!O21="N",'Ingoing substances_DID'!Q21="Y"),"",K21))</f>
        <v/>
      </c>
      <c r="O21" s="385" t="str">
        <f>IF('Ingoing Substances'!U21="","",'Ingoing Substances'!U21*K21/100)</f>
        <v/>
      </c>
      <c r="P21" s="384" t="str">
        <f>IF(B21="","",C21*Product!$E$36/100)</f>
        <v/>
      </c>
      <c r="Q21" s="330" t="str">
        <f>IF(B21="","",P21*'Ingoing substances_DID'!M21/'Ingoing substances_DID'!N21*1000)</f>
        <v/>
      </c>
      <c r="R21" s="332" t="str">
        <f>IF(B21="","",(IF(OR('Ingoing Substances'!O21="N",'Ingoing substances_DID'!O21="R"),"",P21)))</f>
        <v/>
      </c>
      <c r="S21" s="332" t="str">
        <f>IF(B21="","",IF(OR('Ingoing Substances'!O21="N",'Ingoing substances_DID'!Q21="Y"),"",P21))</f>
        <v/>
      </c>
      <c r="T21" s="385" t="str">
        <f>IF('Ingoing Substances'!U21="","",'Ingoing Substances'!U21*P21/100)</f>
        <v/>
      </c>
    </row>
    <row r="22" spans="1:20" x14ac:dyDescent="0.15">
      <c r="A22" s="37">
        <v>11</v>
      </c>
      <c r="B22" s="328" t="str">
        <f>IF('Ingoing substances_DID'!B22="","",'Ingoing substances_DID'!B22)</f>
        <v/>
      </c>
      <c r="C22" s="329" t="str">
        <f>IF('Ingoing substances_DID'!G22="","",'Ingoing substances_DID'!G22)</f>
        <v/>
      </c>
      <c r="D22" s="331" t="str">
        <f>IF(OR('Ingoing Substances'!Q22="N",'Ingoing substances_DID'!O22="R"),"",C22)</f>
        <v/>
      </c>
      <c r="E22" s="376" t="str">
        <f>IF(OR('Ingoing Substances'!T22="N",'Ingoing substances_DID'!P22="Y"),"",C22)</f>
        <v/>
      </c>
      <c r="F22" s="384" t="str">
        <f>IF(B22="","",C22*Product!$C$36/100)</f>
        <v/>
      </c>
      <c r="G22" s="330" t="str">
        <f>IF(B22="","",F22*'Ingoing substances_DID'!M22/'Ingoing substances_DID'!N22*1000)</f>
        <v/>
      </c>
      <c r="H22" s="331" t="str">
        <f>IF(B22="","",(IF(OR('Ingoing Substances'!O22="N",'Ingoing substances_DID'!O22="R"),"",F22)))</f>
        <v/>
      </c>
      <c r="I22" s="331" t="str">
        <f>IF(B22="","",IF(OR('Ingoing Substances'!O22="N",'Ingoing substances_DID'!Q22="Y"),"",F22))</f>
        <v/>
      </c>
      <c r="J22" s="385" t="str">
        <f>IF('Ingoing Substances'!U22="","",'Ingoing Substances'!U22*F22/100)</f>
        <v/>
      </c>
      <c r="K22" s="384" t="str">
        <f>IF(B22="","",C22*Product!$D$36/100)</f>
        <v/>
      </c>
      <c r="L22" s="330" t="str">
        <f>IF(B22="","",K22*'Ingoing substances_DID'!M22/'Ingoing substances_DID'!N22*1000)</f>
        <v/>
      </c>
      <c r="M22" s="332" t="str">
        <f>IF(B22="","",(IF(OR('Ingoing Substances'!O22="N",'Ingoing substances_DID'!O22="R"),"",K22)))</f>
        <v/>
      </c>
      <c r="N22" s="332" t="str">
        <f>IF(B22="","",IF(OR('Ingoing Substances'!O22="N",'Ingoing substances_DID'!Q22="Y"),"",K22))</f>
        <v/>
      </c>
      <c r="O22" s="385" t="str">
        <f>IF('Ingoing Substances'!U22="","",'Ingoing Substances'!U22*K22/100)</f>
        <v/>
      </c>
      <c r="P22" s="384" t="str">
        <f>IF(B22="","",C22*Product!$E$36/100)</f>
        <v/>
      </c>
      <c r="Q22" s="330" t="str">
        <f>IF(B22="","",P22*'Ingoing substances_DID'!M22/'Ingoing substances_DID'!N22*1000)</f>
        <v/>
      </c>
      <c r="R22" s="332" t="str">
        <f>IF(B22="","",(IF(OR('Ingoing Substances'!O22="N",'Ingoing substances_DID'!O22="R"),"",P22)))</f>
        <v/>
      </c>
      <c r="S22" s="332" t="str">
        <f>IF(B22="","",IF(OR('Ingoing Substances'!O22="N",'Ingoing substances_DID'!Q22="Y"),"",P22))</f>
        <v/>
      </c>
      <c r="T22" s="385" t="str">
        <f>IF('Ingoing Substances'!U22="","",'Ingoing Substances'!U22*P22/100)</f>
        <v/>
      </c>
    </row>
    <row r="23" spans="1:20" x14ac:dyDescent="0.15">
      <c r="A23" s="37">
        <v>12</v>
      </c>
      <c r="B23" s="328" t="str">
        <f>IF('Ingoing substances_DID'!B23="","",'Ingoing substances_DID'!B23)</f>
        <v/>
      </c>
      <c r="C23" s="329" t="str">
        <f>IF('Ingoing substances_DID'!G23="","",'Ingoing substances_DID'!G23)</f>
        <v/>
      </c>
      <c r="D23" s="331" t="str">
        <f>IF(OR('Ingoing Substances'!Q23="N",'Ingoing substances_DID'!O23="R"),"",C23)</f>
        <v/>
      </c>
      <c r="E23" s="376" t="str">
        <f>IF(OR('Ingoing Substances'!T23="N",'Ingoing substances_DID'!P23="Y"),"",C23)</f>
        <v/>
      </c>
      <c r="F23" s="384" t="str">
        <f>IF(B23="","",C23*Product!$C$36/100)</f>
        <v/>
      </c>
      <c r="G23" s="330" t="str">
        <f>IF(B23="","",F23*'Ingoing substances_DID'!M23/'Ingoing substances_DID'!N23*1000)</f>
        <v/>
      </c>
      <c r="H23" s="331" t="str">
        <f>IF(B23="","",(IF(OR('Ingoing Substances'!O23="N",'Ingoing substances_DID'!O23="R"),"",F23)))</f>
        <v/>
      </c>
      <c r="I23" s="331" t="str">
        <f>IF(B23="","",IF(OR('Ingoing Substances'!O23="N",'Ingoing substances_DID'!Q23="Y"),"",F23))</f>
        <v/>
      </c>
      <c r="J23" s="385" t="str">
        <f>IF('Ingoing Substances'!U23="","",'Ingoing Substances'!U23*F23/100)</f>
        <v/>
      </c>
      <c r="K23" s="384" t="str">
        <f>IF(B23="","",C23*Product!$D$36/100)</f>
        <v/>
      </c>
      <c r="L23" s="330" t="str">
        <f>IF(B23="","",K23*'Ingoing substances_DID'!M23/'Ingoing substances_DID'!N23*1000)</f>
        <v/>
      </c>
      <c r="M23" s="332" t="str">
        <f>IF(B23="","",(IF(OR('Ingoing Substances'!O23="N",'Ingoing substances_DID'!O23="R"),"",K23)))</f>
        <v/>
      </c>
      <c r="N23" s="332" t="str">
        <f>IF(B23="","",IF(OR('Ingoing Substances'!O23="N",'Ingoing substances_DID'!Q23="Y"),"",K23))</f>
        <v/>
      </c>
      <c r="O23" s="385" t="str">
        <f>IF('Ingoing Substances'!U23="","",'Ingoing Substances'!U23*K23/100)</f>
        <v/>
      </c>
      <c r="P23" s="384" t="str">
        <f>IF(B23="","",C23*Product!$E$36/100)</f>
        <v/>
      </c>
      <c r="Q23" s="330" t="str">
        <f>IF(B23="","",P23*'Ingoing substances_DID'!M23/'Ingoing substances_DID'!N23*1000)</f>
        <v/>
      </c>
      <c r="R23" s="332" t="str">
        <f>IF(B23="","",(IF(OR('Ingoing Substances'!O23="N",'Ingoing substances_DID'!O23="R"),"",P23)))</f>
        <v/>
      </c>
      <c r="S23" s="332" t="str">
        <f>IF(B23="","",IF(OR('Ingoing Substances'!O23="N",'Ingoing substances_DID'!Q23="Y"),"",P23))</f>
        <v/>
      </c>
      <c r="T23" s="385" t="str">
        <f>IF('Ingoing Substances'!U23="","",'Ingoing Substances'!U23*P23/100)</f>
        <v/>
      </c>
    </row>
    <row r="24" spans="1:20" x14ac:dyDescent="0.15">
      <c r="A24" s="37">
        <v>13</v>
      </c>
      <c r="B24" s="328" t="str">
        <f>IF('Ingoing substances_DID'!B24="","",'Ingoing substances_DID'!B24)</f>
        <v/>
      </c>
      <c r="C24" s="329" t="str">
        <f>IF('Ingoing substances_DID'!G24="","",'Ingoing substances_DID'!G24)</f>
        <v/>
      </c>
      <c r="D24" s="331" t="str">
        <f>IF(OR('Ingoing Substances'!Q24="N",'Ingoing substances_DID'!O24="R"),"",C24)</f>
        <v/>
      </c>
      <c r="E24" s="376" t="str">
        <f>IF(OR('Ingoing Substances'!T24="N",'Ingoing substances_DID'!P24="Y"),"",C24)</f>
        <v/>
      </c>
      <c r="F24" s="384" t="str">
        <f>IF(B24="","",C24*Product!$C$36/100)</f>
        <v/>
      </c>
      <c r="G24" s="330" t="str">
        <f>IF(B24="","",F24*'Ingoing substances_DID'!M24/'Ingoing substances_DID'!N24*1000)</f>
        <v/>
      </c>
      <c r="H24" s="331" t="str">
        <f>IF(B24="","",(IF(OR('Ingoing Substances'!O24="N",'Ingoing substances_DID'!O24="R"),"",F24)))</f>
        <v/>
      </c>
      <c r="I24" s="331" t="str">
        <f>IF(B24="","",IF(OR('Ingoing Substances'!O24="N",'Ingoing substances_DID'!Q24="Y"),"",F24))</f>
        <v/>
      </c>
      <c r="J24" s="385" t="str">
        <f>IF('Ingoing Substances'!U24="","",'Ingoing Substances'!U24*F24/100)</f>
        <v/>
      </c>
      <c r="K24" s="384" t="str">
        <f>IF(B24="","",C24*Product!$D$36/100)</f>
        <v/>
      </c>
      <c r="L24" s="330" t="str">
        <f>IF(B24="","",K24*'Ingoing substances_DID'!M24/'Ingoing substances_DID'!N24*1000)</f>
        <v/>
      </c>
      <c r="M24" s="332" t="str">
        <f>IF(B24="","",(IF(OR('Ingoing Substances'!O24="N",'Ingoing substances_DID'!O24="R"),"",K24)))</f>
        <v/>
      </c>
      <c r="N24" s="332" t="str">
        <f>IF(B24="","",IF(OR('Ingoing Substances'!O24="N",'Ingoing substances_DID'!Q24="Y"),"",K24))</f>
        <v/>
      </c>
      <c r="O24" s="385" t="str">
        <f>IF('Ingoing Substances'!U24="","",'Ingoing Substances'!U24*K24/100)</f>
        <v/>
      </c>
      <c r="P24" s="384" t="str">
        <f>IF(B24="","",C24*Product!$E$36/100)</f>
        <v/>
      </c>
      <c r="Q24" s="330" t="str">
        <f>IF(B24="","",P24*'Ingoing substances_DID'!M24/'Ingoing substances_DID'!N24*1000)</f>
        <v/>
      </c>
      <c r="R24" s="332" t="str">
        <f>IF(B24="","",(IF(OR('Ingoing Substances'!O24="N",'Ingoing substances_DID'!O24="R"),"",P24)))</f>
        <v/>
      </c>
      <c r="S24" s="332" t="str">
        <f>IF(B24="","",IF(OR('Ingoing Substances'!O24="N",'Ingoing substances_DID'!Q24="Y"),"",P24))</f>
        <v/>
      </c>
      <c r="T24" s="385" t="str">
        <f>IF('Ingoing Substances'!U24="","",'Ingoing Substances'!U24*P24/100)</f>
        <v/>
      </c>
    </row>
    <row r="25" spans="1:20" x14ac:dyDescent="0.15">
      <c r="A25" s="37">
        <v>14</v>
      </c>
      <c r="B25" s="328" t="str">
        <f>IF('Ingoing substances_DID'!B25="","",'Ingoing substances_DID'!B25)</f>
        <v/>
      </c>
      <c r="C25" s="329" t="str">
        <f>IF('Ingoing substances_DID'!G25="","",'Ingoing substances_DID'!G25)</f>
        <v/>
      </c>
      <c r="D25" s="331" t="str">
        <f>IF(OR('Ingoing Substances'!Q25="N",'Ingoing substances_DID'!O25="R"),"",C25)</f>
        <v/>
      </c>
      <c r="E25" s="376" t="str">
        <f>IF(OR('Ingoing Substances'!T25="N",'Ingoing substances_DID'!P25="Y"),"",C25)</f>
        <v/>
      </c>
      <c r="F25" s="384" t="str">
        <f>IF(B25="","",C25*Product!$C$36/100)</f>
        <v/>
      </c>
      <c r="G25" s="330" t="str">
        <f>IF(B25="","",F25*'Ingoing substances_DID'!M25/'Ingoing substances_DID'!N25*1000)</f>
        <v/>
      </c>
      <c r="H25" s="331" t="str">
        <f>IF(B25="","",(IF(OR('Ingoing Substances'!O25="N",'Ingoing substances_DID'!O25="R"),"",F25)))</f>
        <v/>
      </c>
      <c r="I25" s="331" t="str">
        <f>IF(B25="","",IF(OR('Ingoing Substances'!O25="N",'Ingoing substances_DID'!Q25="Y"),"",F25))</f>
        <v/>
      </c>
      <c r="J25" s="385" t="str">
        <f>IF('Ingoing Substances'!U25="","",'Ingoing Substances'!U25*F25/100)</f>
        <v/>
      </c>
      <c r="K25" s="384" t="str">
        <f>IF(B25="","",C25*Product!$D$36/100)</f>
        <v/>
      </c>
      <c r="L25" s="330" t="str">
        <f>IF(B25="","",K25*'Ingoing substances_DID'!M25/'Ingoing substances_DID'!N25*1000)</f>
        <v/>
      </c>
      <c r="M25" s="332" t="str">
        <f>IF(B25="","",(IF(OR('Ingoing Substances'!O25="N",'Ingoing substances_DID'!O25="R"),"",K25)))</f>
        <v/>
      </c>
      <c r="N25" s="332" t="str">
        <f>IF(B25="","",IF(OR('Ingoing Substances'!O25="N",'Ingoing substances_DID'!Q25="Y"),"",K25))</f>
        <v/>
      </c>
      <c r="O25" s="385" t="str">
        <f>IF('Ingoing Substances'!U25="","",'Ingoing Substances'!U25*K25/100)</f>
        <v/>
      </c>
      <c r="P25" s="384" t="str">
        <f>IF(B25="","",C25*Product!$E$36/100)</f>
        <v/>
      </c>
      <c r="Q25" s="330" t="str">
        <f>IF(B25="","",P25*'Ingoing substances_DID'!M25/'Ingoing substances_DID'!N25*1000)</f>
        <v/>
      </c>
      <c r="R25" s="332" t="str">
        <f>IF(B25="","",(IF(OR('Ingoing Substances'!O25="N",'Ingoing substances_DID'!O25="R"),"",P25)))</f>
        <v/>
      </c>
      <c r="S25" s="332" t="str">
        <f>IF(B25="","",IF(OR('Ingoing Substances'!O25="N",'Ingoing substances_DID'!Q25="Y"),"",P25))</f>
        <v/>
      </c>
      <c r="T25" s="385" t="str">
        <f>IF('Ingoing Substances'!U25="","",'Ingoing Substances'!U25*P25/100)</f>
        <v/>
      </c>
    </row>
    <row r="26" spans="1:20" x14ac:dyDescent="0.15">
      <c r="A26" s="37">
        <v>15</v>
      </c>
      <c r="B26" s="328" t="str">
        <f>IF('Ingoing substances_DID'!B26="","",'Ingoing substances_DID'!B26)</f>
        <v/>
      </c>
      <c r="C26" s="329" t="str">
        <f>IF('Ingoing substances_DID'!G26="","",'Ingoing substances_DID'!G26)</f>
        <v/>
      </c>
      <c r="D26" s="331" t="str">
        <f>IF(OR('Ingoing Substances'!Q26="N",'Ingoing substances_DID'!O26="R"),"",C26)</f>
        <v/>
      </c>
      <c r="E26" s="376" t="str">
        <f>IF(OR('Ingoing Substances'!T26="N",'Ingoing substances_DID'!P26="Y"),"",C26)</f>
        <v/>
      </c>
      <c r="F26" s="384" t="str">
        <f>IF(B26="","",C26*Product!$C$36/100)</f>
        <v/>
      </c>
      <c r="G26" s="330" t="str">
        <f>IF(B26="","",F26*'Ingoing substances_DID'!M26/'Ingoing substances_DID'!N26*1000)</f>
        <v/>
      </c>
      <c r="H26" s="331" t="str">
        <f>IF(B26="","",(IF(OR('Ingoing Substances'!O26="N",'Ingoing substances_DID'!O26="R"),"",F26)))</f>
        <v/>
      </c>
      <c r="I26" s="331" t="str">
        <f>IF(B26="","",IF(OR('Ingoing Substances'!O26="N",'Ingoing substances_DID'!Q26="Y"),"",F26))</f>
        <v/>
      </c>
      <c r="J26" s="385" t="str">
        <f>IF('Ingoing Substances'!U26="","",'Ingoing Substances'!U26*F26/100)</f>
        <v/>
      </c>
      <c r="K26" s="384" t="str">
        <f>IF(B26="","",C26*Product!$D$36/100)</f>
        <v/>
      </c>
      <c r="L26" s="330" t="str">
        <f>IF(B26="","",K26*'Ingoing substances_DID'!M26/'Ingoing substances_DID'!N26*1000)</f>
        <v/>
      </c>
      <c r="M26" s="332" t="str">
        <f>IF(B26="","",(IF(OR('Ingoing Substances'!O26="N",'Ingoing substances_DID'!O26="R"),"",K26)))</f>
        <v/>
      </c>
      <c r="N26" s="332" t="str">
        <f>IF(B26="","",IF(OR('Ingoing Substances'!O26="N",'Ingoing substances_DID'!Q26="Y"),"",K26))</f>
        <v/>
      </c>
      <c r="O26" s="385" t="str">
        <f>IF('Ingoing Substances'!U26="","",'Ingoing Substances'!U26*K26/100)</f>
        <v/>
      </c>
      <c r="P26" s="384" t="str">
        <f>IF(B26="","",C26*Product!$E$36/100)</f>
        <v/>
      </c>
      <c r="Q26" s="330" t="str">
        <f>IF(B26="","",P26*'Ingoing substances_DID'!M26/'Ingoing substances_DID'!N26*1000)</f>
        <v/>
      </c>
      <c r="R26" s="332" t="str">
        <f>IF(B26="","",(IF(OR('Ingoing Substances'!O26="N",'Ingoing substances_DID'!O26="R"),"",P26)))</f>
        <v/>
      </c>
      <c r="S26" s="332" t="str">
        <f>IF(B26="","",IF(OR('Ingoing Substances'!O26="N",'Ingoing substances_DID'!Q26="Y"),"",P26))</f>
        <v/>
      </c>
      <c r="T26" s="385" t="str">
        <f>IF('Ingoing Substances'!U26="","",'Ingoing Substances'!U26*P26/100)</f>
        <v/>
      </c>
    </row>
    <row r="27" spans="1:20" x14ac:dyDescent="0.15">
      <c r="A27" s="37">
        <v>16</v>
      </c>
      <c r="B27" s="328" t="str">
        <f>IF('Ingoing substances_DID'!B27="","",'Ingoing substances_DID'!B27)</f>
        <v/>
      </c>
      <c r="C27" s="329" t="str">
        <f>IF('Ingoing substances_DID'!G27="","",'Ingoing substances_DID'!G27)</f>
        <v/>
      </c>
      <c r="D27" s="331" t="str">
        <f>IF(OR('Ingoing Substances'!Q27="N",'Ingoing substances_DID'!O27="R"),"",C27)</f>
        <v/>
      </c>
      <c r="E27" s="376" t="str">
        <f>IF(OR('Ingoing Substances'!T27="N",'Ingoing substances_DID'!P27="Y"),"",C27)</f>
        <v/>
      </c>
      <c r="F27" s="384" t="str">
        <f>IF(B27="","",C27*Product!$C$36/100)</f>
        <v/>
      </c>
      <c r="G27" s="330" t="str">
        <f>IF(B27="","",F27*'Ingoing substances_DID'!M27/'Ingoing substances_DID'!N27*1000)</f>
        <v/>
      </c>
      <c r="H27" s="331" t="str">
        <f>IF(B27="","",(IF(OR('Ingoing Substances'!O27="N",'Ingoing substances_DID'!O27="R"),"",F27)))</f>
        <v/>
      </c>
      <c r="I27" s="331" t="str">
        <f>IF(B27="","",IF(OR('Ingoing Substances'!O27="N",'Ingoing substances_DID'!Q27="Y"),"",F27))</f>
        <v/>
      </c>
      <c r="J27" s="385" t="str">
        <f>IF('Ingoing Substances'!U27="","",'Ingoing Substances'!U27*F27/100)</f>
        <v/>
      </c>
      <c r="K27" s="384" t="str">
        <f>IF(B27="","",C27*Product!$D$36/100)</f>
        <v/>
      </c>
      <c r="L27" s="330" t="str">
        <f>IF(B27="","",K27*'Ingoing substances_DID'!M27/'Ingoing substances_DID'!N27*1000)</f>
        <v/>
      </c>
      <c r="M27" s="332" t="str">
        <f>IF(B27="","",(IF(OR('Ingoing Substances'!O27="N",'Ingoing substances_DID'!O27="R"),"",K27)))</f>
        <v/>
      </c>
      <c r="N27" s="332" t="str">
        <f>IF(B27="","",IF(OR('Ingoing Substances'!O27="N",'Ingoing substances_DID'!Q27="Y"),"",K27))</f>
        <v/>
      </c>
      <c r="O27" s="385" t="str">
        <f>IF('Ingoing Substances'!U27="","",'Ingoing Substances'!U27*K27/100)</f>
        <v/>
      </c>
      <c r="P27" s="384" t="str">
        <f>IF(B27="","",C27*Product!$E$36/100)</f>
        <v/>
      </c>
      <c r="Q27" s="330" t="str">
        <f>IF(B27="","",P27*'Ingoing substances_DID'!M27/'Ingoing substances_DID'!N27*1000)</f>
        <v/>
      </c>
      <c r="R27" s="332" t="str">
        <f>IF(B27="","",(IF(OR('Ingoing Substances'!O27="N",'Ingoing substances_DID'!O27="R"),"",P27)))</f>
        <v/>
      </c>
      <c r="S27" s="332" t="str">
        <f>IF(B27="","",IF(OR('Ingoing Substances'!O27="N",'Ingoing substances_DID'!Q27="Y"),"",P27))</f>
        <v/>
      </c>
      <c r="T27" s="385" t="str">
        <f>IF('Ingoing Substances'!U27="","",'Ingoing Substances'!U27*P27/100)</f>
        <v/>
      </c>
    </row>
    <row r="28" spans="1:20" x14ac:dyDescent="0.15">
      <c r="A28" s="37">
        <v>17</v>
      </c>
      <c r="B28" s="328" t="str">
        <f>IF('Ingoing substances_DID'!B28="","",'Ingoing substances_DID'!B28)</f>
        <v/>
      </c>
      <c r="C28" s="329" t="str">
        <f>IF('Ingoing substances_DID'!G28="","",'Ingoing substances_DID'!G28)</f>
        <v/>
      </c>
      <c r="D28" s="331" t="str">
        <f>IF(OR('Ingoing Substances'!Q28="N",'Ingoing substances_DID'!O28="R"),"",C28)</f>
        <v/>
      </c>
      <c r="E28" s="376" t="str">
        <f>IF(OR('Ingoing Substances'!T28="N",'Ingoing substances_DID'!P28="Y"),"",C28)</f>
        <v/>
      </c>
      <c r="F28" s="384" t="str">
        <f>IF(B28="","",C28*Product!$C$36/100)</f>
        <v/>
      </c>
      <c r="G28" s="330" t="str">
        <f>IF(B28="","",F28*'Ingoing substances_DID'!M28/'Ingoing substances_DID'!N28*1000)</f>
        <v/>
      </c>
      <c r="H28" s="331" t="str">
        <f>IF(B28="","",(IF(OR('Ingoing Substances'!O28="N",'Ingoing substances_DID'!O28="R"),"",F28)))</f>
        <v/>
      </c>
      <c r="I28" s="331" t="str">
        <f>IF(B28="","",IF(OR('Ingoing Substances'!O28="N",'Ingoing substances_DID'!Q28="Y"),"",F28))</f>
        <v/>
      </c>
      <c r="J28" s="385" t="str">
        <f>IF('Ingoing Substances'!U28="","",'Ingoing Substances'!U28*F28/100)</f>
        <v/>
      </c>
      <c r="K28" s="384" t="str">
        <f>IF(B28="","",C28*Product!$D$36/100)</f>
        <v/>
      </c>
      <c r="L28" s="330" t="str">
        <f>IF(B28="","",K28*'Ingoing substances_DID'!M28/'Ingoing substances_DID'!N28*1000)</f>
        <v/>
      </c>
      <c r="M28" s="332" t="str">
        <f>IF(B28="","",(IF(OR('Ingoing Substances'!O28="N",'Ingoing substances_DID'!O28="R"),"",K28)))</f>
        <v/>
      </c>
      <c r="N28" s="332" t="str">
        <f>IF(B28="","",IF(OR('Ingoing Substances'!O28="N",'Ingoing substances_DID'!Q28="Y"),"",K28))</f>
        <v/>
      </c>
      <c r="O28" s="385" t="str">
        <f>IF('Ingoing Substances'!U28="","",'Ingoing Substances'!U28*K28/100)</f>
        <v/>
      </c>
      <c r="P28" s="384" t="str">
        <f>IF(B28="","",C28*Product!$E$36/100)</f>
        <v/>
      </c>
      <c r="Q28" s="330" t="str">
        <f>IF(B28="","",P28*'Ingoing substances_DID'!M28/'Ingoing substances_DID'!N28*1000)</f>
        <v/>
      </c>
      <c r="R28" s="332" t="str">
        <f>IF(B28="","",(IF(OR('Ingoing Substances'!O28="N",'Ingoing substances_DID'!O28="R"),"",P28)))</f>
        <v/>
      </c>
      <c r="S28" s="332" t="str">
        <f>IF(B28="","",IF(OR('Ingoing Substances'!O28="N",'Ingoing substances_DID'!Q28="Y"),"",P28))</f>
        <v/>
      </c>
      <c r="T28" s="385" t="str">
        <f>IF('Ingoing Substances'!U28="","",'Ingoing Substances'!U28*P28/100)</f>
        <v/>
      </c>
    </row>
    <row r="29" spans="1:20" x14ac:dyDescent="0.15">
      <c r="A29" s="37">
        <v>18</v>
      </c>
      <c r="B29" s="328" t="str">
        <f>IF('Ingoing substances_DID'!B29="","",'Ingoing substances_DID'!B29)</f>
        <v/>
      </c>
      <c r="C29" s="329" t="str">
        <f>IF('Ingoing substances_DID'!G29="","",'Ingoing substances_DID'!G29)</f>
        <v/>
      </c>
      <c r="D29" s="331" t="str">
        <f>IF(OR('Ingoing Substances'!Q29="N",'Ingoing substances_DID'!O29="R"),"",C29)</f>
        <v/>
      </c>
      <c r="E29" s="376" t="str">
        <f>IF(OR('Ingoing Substances'!T29="N",'Ingoing substances_DID'!P29="Y"),"",C29)</f>
        <v/>
      </c>
      <c r="F29" s="384" t="str">
        <f>IF(B29="","",C29*Product!$C$36/100)</f>
        <v/>
      </c>
      <c r="G29" s="330" t="str">
        <f>IF(B29="","",F29*'Ingoing substances_DID'!M29/'Ingoing substances_DID'!N29*1000)</f>
        <v/>
      </c>
      <c r="H29" s="331" t="str">
        <f>IF(B29="","",(IF(OR('Ingoing Substances'!O29="N",'Ingoing substances_DID'!O29="R"),"",F29)))</f>
        <v/>
      </c>
      <c r="I29" s="331" t="str">
        <f>IF(B29="","",IF(OR('Ingoing Substances'!O29="N",'Ingoing substances_DID'!Q29="Y"),"",F29))</f>
        <v/>
      </c>
      <c r="J29" s="385" t="str">
        <f>IF('Ingoing Substances'!U29="","",'Ingoing Substances'!U29*F29/100)</f>
        <v/>
      </c>
      <c r="K29" s="384" t="str">
        <f>IF(B29="","",C29*Product!$D$36/100)</f>
        <v/>
      </c>
      <c r="L29" s="330" t="str">
        <f>IF(B29="","",K29*'Ingoing substances_DID'!M29/'Ingoing substances_DID'!N29*1000)</f>
        <v/>
      </c>
      <c r="M29" s="332" t="str">
        <f>IF(B29="","",(IF(OR('Ingoing Substances'!O29="N",'Ingoing substances_DID'!O29="R"),"",K29)))</f>
        <v/>
      </c>
      <c r="N29" s="332" t="str">
        <f>IF(B29="","",IF(OR('Ingoing Substances'!O29="N",'Ingoing substances_DID'!Q29="Y"),"",K29))</f>
        <v/>
      </c>
      <c r="O29" s="385" t="str">
        <f>IF('Ingoing Substances'!U29="","",'Ingoing Substances'!U29*K29/100)</f>
        <v/>
      </c>
      <c r="P29" s="384" t="str">
        <f>IF(B29="","",C29*Product!$E$36/100)</f>
        <v/>
      </c>
      <c r="Q29" s="330" t="str">
        <f>IF(B29="","",P29*'Ingoing substances_DID'!M29/'Ingoing substances_DID'!N29*1000)</f>
        <v/>
      </c>
      <c r="R29" s="332" t="str">
        <f>IF(B29="","",(IF(OR('Ingoing Substances'!O29="N",'Ingoing substances_DID'!O29="R"),"",P29)))</f>
        <v/>
      </c>
      <c r="S29" s="332" t="str">
        <f>IF(B29="","",IF(OR('Ingoing Substances'!O29="N",'Ingoing substances_DID'!Q29="Y"),"",P29))</f>
        <v/>
      </c>
      <c r="T29" s="385" t="str">
        <f>IF('Ingoing Substances'!U29="","",'Ingoing Substances'!U29*P29/100)</f>
        <v/>
      </c>
    </row>
    <row r="30" spans="1:20" x14ac:dyDescent="0.15">
      <c r="A30" s="37">
        <v>19</v>
      </c>
      <c r="B30" s="328" t="str">
        <f>IF('Ingoing substances_DID'!B30="","",'Ingoing substances_DID'!B30)</f>
        <v/>
      </c>
      <c r="C30" s="329" t="str">
        <f>IF('Ingoing substances_DID'!G30="","",'Ingoing substances_DID'!G30)</f>
        <v/>
      </c>
      <c r="D30" s="331" t="str">
        <f>IF(OR('Ingoing Substances'!Q30="N",'Ingoing substances_DID'!O30="R"),"",C30)</f>
        <v/>
      </c>
      <c r="E30" s="376" t="str">
        <f>IF(OR('Ingoing Substances'!T30="N",'Ingoing substances_DID'!P30="Y"),"",C30)</f>
        <v/>
      </c>
      <c r="F30" s="384" t="str">
        <f>IF(B30="","",C30*Product!$C$36/100)</f>
        <v/>
      </c>
      <c r="G30" s="330" t="str">
        <f>IF(B30="","",F30*'Ingoing substances_DID'!M30/'Ingoing substances_DID'!N30*1000)</f>
        <v/>
      </c>
      <c r="H30" s="331" t="str">
        <f>IF(B30="","",(IF(OR('Ingoing Substances'!O30="N",'Ingoing substances_DID'!O30="R"),"",F30)))</f>
        <v/>
      </c>
      <c r="I30" s="331" t="str">
        <f>IF(B30="","",IF(OR('Ingoing Substances'!O30="N",'Ingoing substances_DID'!Q30="Y"),"",F30))</f>
        <v/>
      </c>
      <c r="J30" s="385" t="str">
        <f>IF('Ingoing Substances'!U30="","",'Ingoing Substances'!U30*F30/100)</f>
        <v/>
      </c>
      <c r="K30" s="384" t="str">
        <f>IF(B30="","",C30*Product!$D$36/100)</f>
        <v/>
      </c>
      <c r="L30" s="330" t="str">
        <f>IF(B30="","",K30*'Ingoing substances_DID'!M30/'Ingoing substances_DID'!N30*1000)</f>
        <v/>
      </c>
      <c r="M30" s="332" t="str">
        <f>IF(B30="","",(IF(OR('Ingoing Substances'!O30="N",'Ingoing substances_DID'!O30="R"),"",K30)))</f>
        <v/>
      </c>
      <c r="N30" s="332" t="str">
        <f>IF(B30="","",IF(OR('Ingoing Substances'!O30="N",'Ingoing substances_DID'!Q30="Y"),"",K30))</f>
        <v/>
      </c>
      <c r="O30" s="385" t="str">
        <f>IF('Ingoing Substances'!U30="","",'Ingoing Substances'!U30*K30/100)</f>
        <v/>
      </c>
      <c r="P30" s="384" t="str">
        <f>IF(B30="","",C30*Product!$E$36/100)</f>
        <v/>
      </c>
      <c r="Q30" s="330" t="str">
        <f>IF(B30="","",P30*'Ingoing substances_DID'!M30/'Ingoing substances_DID'!N30*1000)</f>
        <v/>
      </c>
      <c r="R30" s="332" t="str">
        <f>IF(B30="","",(IF(OR('Ingoing Substances'!O30="N",'Ingoing substances_DID'!O30="R"),"",P30)))</f>
        <v/>
      </c>
      <c r="S30" s="332" t="str">
        <f>IF(B30="","",IF(OR('Ingoing Substances'!O30="N",'Ingoing substances_DID'!Q30="Y"),"",P30))</f>
        <v/>
      </c>
      <c r="T30" s="385" t="str">
        <f>IF('Ingoing Substances'!U30="","",'Ingoing Substances'!U30*P30/100)</f>
        <v/>
      </c>
    </row>
    <row r="31" spans="1:20" x14ac:dyDescent="0.15">
      <c r="A31" s="37">
        <v>20</v>
      </c>
      <c r="B31" s="328" t="str">
        <f>IF('Ingoing substances_DID'!B31="","",'Ingoing substances_DID'!B31)</f>
        <v/>
      </c>
      <c r="C31" s="329" t="str">
        <f>IF('Ingoing substances_DID'!G31="","",'Ingoing substances_DID'!G31)</f>
        <v/>
      </c>
      <c r="D31" s="331" t="str">
        <f>IF(OR('Ingoing Substances'!Q31="N",'Ingoing substances_DID'!O31="R"),"",C31)</f>
        <v/>
      </c>
      <c r="E31" s="376" t="str">
        <f>IF(OR('Ingoing Substances'!T31="N",'Ingoing substances_DID'!P31="Y"),"",C31)</f>
        <v/>
      </c>
      <c r="F31" s="384" t="str">
        <f>IF(B31="","",C31*Product!$C$36/100)</f>
        <v/>
      </c>
      <c r="G31" s="330" t="str">
        <f>IF(B31="","",F31*'Ingoing substances_DID'!M31/'Ingoing substances_DID'!N31*1000)</f>
        <v/>
      </c>
      <c r="H31" s="331" t="str">
        <f>IF(B31="","",(IF(OR('Ingoing Substances'!O31="N",'Ingoing substances_DID'!O31="R"),"",F31)))</f>
        <v/>
      </c>
      <c r="I31" s="331" t="str">
        <f>IF(B31="","",IF(OR('Ingoing Substances'!O31="N",'Ingoing substances_DID'!Q31="Y"),"",F31))</f>
        <v/>
      </c>
      <c r="J31" s="385" t="str">
        <f>IF('Ingoing Substances'!U31="","",'Ingoing Substances'!U31*F31/100)</f>
        <v/>
      </c>
      <c r="K31" s="384" t="str">
        <f>IF(B31="","",C31*Product!$D$36/100)</f>
        <v/>
      </c>
      <c r="L31" s="330" t="str">
        <f>IF(B31="","",K31*'Ingoing substances_DID'!M31/'Ingoing substances_DID'!N31*1000)</f>
        <v/>
      </c>
      <c r="M31" s="332" t="str">
        <f>IF(B31="","",(IF(OR('Ingoing Substances'!O31="N",'Ingoing substances_DID'!O31="R"),"",K31)))</f>
        <v/>
      </c>
      <c r="N31" s="332" t="str">
        <f>IF(B31="","",IF(OR('Ingoing Substances'!O31="N",'Ingoing substances_DID'!Q31="Y"),"",K31))</f>
        <v/>
      </c>
      <c r="O31" s="385" t="str">
        <f>IF('Ingoing Substances'!U31="","",'Ingoing Substances'!U31*K31/100)</f>
        <v/>
      </c>
      <c r="P31" s="384" t="str">
        <f>IF(B31="","",C31*Product!$E$36/100)</f>
        <v/>
      </c>
      <c r="Q31" s="330" t="str">
        <f>IF(B31="","",P31*'Ingoing substances_DID'!M31/'Ingoing substances_DID'!N31*1000)</f>
        <v/>
      </c>
      <c r="R31" s="332" t="str">
        <f>IF(B31="","",(IF(OR('Ingoing Substances'!O31="N",'Ingoing substances_DID'!O31="R"),"",P31)))</f>
        <v/>
      </c>
      <c r="S31" s="332" t="str">
        <f>IF(B31="","",IF(OR('Ingoing Substances'!O31="N",'Ingoing substances_DID'!Q31="Y"),"",P31))</f>
        <v/>
      </c>
      <c r="T31" s="385" t="str">
        <f>IF('Ingoing Substances'!U31="","",'Ingoing Substances'!U31*P31/100)</f>
        <v/>
      </c>
    </row>
    <row r="32" spans="1:20" x14ac:dyDescent="0.15">
      <c r="A32" s="37">
        <v>21</v>
      </c>
      <c r="B32" s="328" t="str">
        <f>IF('Ingoing substances_DID'!B32="","",'Ingoing substances_DID'!B32)</f>
        <v/>
      </c>
      <c r="C32" s="329" t="str">
        <f>IF('Ingoing substances_DID'!G32="","",'Ingoing substances_DID'!G32)</f>
        <v/>
      </c>
      <c r="D32" s="331" t="str">
        <f>IF(OR('Ingoing Substances'!Q32="N",'Ingoing substances_DID'!O32="R"),"",C32)</f>
        <v/>
      </c>
      <c r="E32" s="376" t="str">
        <f>IF(OR('Ingoing Substances'!T32="N",'Ingoing substances_DID'!P32="Y"),"",C32)</f>
        <v/>
      </c>
      <c r="F32" s="384" t="str">
        <f>IF(B32="","",C32*Product!$C$36/100)</f>
        <v/>
      </c>
      <c r="G32" s="330" t="str">
        <f>IF(B32="","",F32*'Ingoing substances_DID'!M32/'Ingoing substances_DID'!N32*1000)</f>
        <v/>
      </c>
      <c r="H32" s="331" t="str">
        <f>IF(B32="","",(IF(OR('Ingoing Substances'!O32="N",'Ingoing substances_DID'!O32="R"),"",F32)))</f>
        <v/>
      </c>
      <c r="I32" s="331" t="str">
        <f>IF(B32="","",IF(OR('Ingoing Substances'!O32="N",'Ingoing substances_DID'!Q32="Y"),"",F32))</f>
        <v/>
      </c>
      <c r="J32" s="385" t="str">
        <f>IF('Ingoing Substances'!U32="","",'Ingoing Substances'!U32*F32/100)</f>
        <v/>
      </c>
      <c r="K32" s="384" t="str">
        <f>IF(B32="","",C32*Product!$D$36/100)</f>
        <v/>
      </c>
      <c r="L32" s="330" t="str">
        <f>IF(B32="","",K32*'Ingoing substances_DID'!M32/'Ingoing substances_DID'!N32*1000)</f>
        <v/>
      </c>
      <c r="M32" s="332" t="str">
        <f>IF(B32="","",(IF(OR('Ingoing Substances'!O32="N",'Ingoing substances_DID'!O32="R"),"",K32)))</f>
        <v/>
      </c>
      <c r="N32" s="332" t="str">
        <f>IF(B32="","",IF(OR('Ingoing Substances'!O32="N",'Ingoing substances_DID'!Q32="Y"),"",K32))</f>
        <v/>
      </c>
      <c r="O32" s="385" t="str">
        <f>IF('Ingoing Substances'!U32="","",'Ingoing Substances'!U32*K32/100)</f>
        <v/>
      </c>
      <c r="P32" s="384" t="str">
        <f>IF(B32="","",C32*Product!$E$36/100)</f>
        <v/>
      </c>
      <c r="Q32" s="330" t="str">
        <f>IF(B32="","",P32*'Ingoing substances_DID'!M32/'Ingoing substances_DID'!N32*1000)</f>
        <v/>
      </c>
      <c r="R32" s="332" t="str">
        <f>IF(B32="","",(IF(OR('Ingoing Substances'!O32="N",'Ingoing substances_DID'!O32="R"),"",P32)))</f>
        <v/>
      </c>
      <c r="S32" s="332" t="str">
        <f>IF(B32="","",IF(OR('Ingoing Substances'!O32="N",'Ingoing substances_DID'!Q32="Y"),"",P32))</f>
        <v/>
      </c>
      <c r="T32" s="385" t="str">
        <f>IF('Ingoing Substances'!U32="","",'Ingoing Substances'!U32*P32/100)</f>
        <v/>
      </c>
    </row>
    <row r="33" spans="1:20" x14ac:dyDescent="0.15">
      <c r="A33" s="37">
        <v>22</v>
      </c>
      <c r="B33" s="328" t="str">
        <f>IF('Ingoing substances_DID'!B33="","",'Ingoing substances_DID'!B33)</f>
        <v/>
      </c>
      <c r="C33" s="329" t="str">
        <f>IF('Ingoing substances_DID'!G33="","",'Ingoing substances_DID'!G33)</f>
        <v/>
      </c>
      <c r="D33" s="331" t="str">
        <f>IF(OR('Ingoing Substances'!Q33="N",'Ingoing substances_DID'!O33="R"),"",C33)</f>
        <v/>
      </c>
      <c r="E33" s="376" t="str">
        <f>IF(OR('Ingoing Substances'!T33="N",'Ingoing substances_DID'!P33="Y"),"",C33)</f>
        <v/>
      </c>
      <c r="F33" s="384" t="str">
        <f>IF(B33="","",C33*Product!$C$36/100)</f>
        <v/>
      </c>
      <c r="G33" s="330" t="str">
        <f>IF(B33="","",F33*'Ingoing substances_DID'!M33/'Ingoing substances_DID'!N33*1000)</f>
        <v/>
      </c>
      <c r="H33" s="331" t="str">
        <f>IF(B33="","",(IF(OR('Ingoing Substances'!O33="N",'Ingoing substances_DID'!O33="R"),"",F33)))</f>
        <v/>
      </c>
      <c r="I33" s="331" t="str">
        <f>IF(B33="","",IF(OR('Ingoing Substances'!O33="N",'Ingoing substances_DID'!Q33="Y"),"",F33))</f>
        <v/>
      </c>
      <c r="J33" s="385" t="str">
        <f>IF('Ingoing Substances'!U33="","",'Ingoing Substances'!U33*F33/100)</f>
        <v/>
      </c>
      <c r="K33" s="384" t="str">
        <f>IF(B33="","",C33*Product!$D$36/100)</f>
        <v/>
      </c>
      <c r="L33" s="330" t="str">
        <f>IF(B33="","",K33*'Ingoing substances_DID'!M33/'Ingoing substances_DID'!N33*1000)</f>
        <v/>
      </c>
      <c r="M33" s="332" t="str">
        <f>IF(B33="","",(IF(OR('Ingoing Substances'!O33="N",'Ingoing substances_DID'!O33="R"),"",K33)))</f>
        <v/>
      </c>
      <c r="N33" s="332" t="str">
        <f>IF(B33="","",IF(OR('Ingoing Substances'!O33="N",'Ingoing substances_DID'!Q33="Y"),"",K33))</f>
        <v/>
      </c>
      <c r="O33" s="385" t="str">
        <f>IF('Ingoing Substances'!U33="","",'Ingoing Substances'!U33*K33/100)</f>
        <v/>
      </c>
      <c r="P33" s="384" t="str">
        <f>IF(B33="","",C33*Product!$E$36/100)</f>
        <v/>
      </c>
      <c r="Q33" s="330" t="str">
        <f>IF(B33="","",P33*'Ingoing substances_DID'!M33/'Ingoing substances_DID'!N33*1000)</f>
        <v/>
      </c>
      <c r="R33" s="332" t="str">
        <f>IF(B33="","",(IF(OR('Ingoing Substances'!O33="N",'Ingoing substances_DID'!O33="R"),"",P33)))</f>
        <v/>
      </c>
      <c r="S33" s="332" t="str">
        <f>IF(B33="","",IF(OR('Ingoing Substances'!O33="N",'Ingoing substances_DID'!Q33="Y"),"",P33))</f>
        <v/>
      </c>
      <c r="T33" s="385" t="str">
        <f>IF('Ingoing Substances'!U33="","",'Ingoing Substances'!U33*P33/100)</f>
        <v/>
      </c>
    </row>
    <row r="34" spans="1:20" x14ac:dyDescent="0.15">
      <c r="A34" s="37">
        <v>23</v>
      </c>
      <c r="B34" s="328" t="str">
        <f>IF('Ingoing substances_DID'!B34="","",'Ingoing substances_DID'!B34)</f>
        <v/>
      </c>
      <c r="C34" s="329" t="str">
        <f>IF('Ingoing substances_DID'!G34="","",'Ingoing substances_DID'!G34)</f>
        <v/>
      </c>
      <c r="D34" s="331" t="str">
        <f>IF(OR('Ingoing Substances'!Q34="N",'Ingoing substances_DID'!O34="R"),"",C34)</f>
        <v/>
      </c>
      <c r="E34" s="376" t="str">
        <f>IF(OR('Ingoing Substances'!T34="N",'Ingoing substances_DID'!P34="Y"),"",C34)</f>
        <v/>
      </c>
      <c r="F34" s="384" t="str">
        <f>IF(B34="","",C34*Product!$C$36/100)</f>
        <v/>
      </c>
      <c r="G34" s="330" t="str">
        <f>IF(B34="","",F34*'Ingoing substances_DID'!M34/'Ingoing substances_DID'!N34*1000)</f>
        <v/>
      </c>
      <c r="H34" s="331" t="str">
        <f>IF(B34="","",(IF(OR('Ingoing Substances'!O34="N",'Ingoing substances_DID'!O34="R"),"",F34)))</f>
        <v/>
      </c>
      <c r="I34" s="331" t="str">
        <f>IF(B34="","",IF(OR('Ingoing Substances'!O34="N",'Ingoing substances_DID'!Q34="Y"),"",F34))</f>
        <v/>
      </c>
      <c r="J34" s="385" t="str">
        <f>IF('Ingoing Substances'!U34="","",'Ingoing Substances'!U34*F34/100)</f>
        <v/>
      </c>
      <c r="K34" s="384" t="str">
        <f>IF(B34="","",C34*Product!$D$36/100)</f>
        <v/>
      </c>
      <c r="L34" s="330" t="str">
        <f>IF(B34="","",K34*'Ingoing substances_DID'!M34/'Ingoing substances_DID'!N34*1000)</f>
        <v/>
      </c>
      <c r="M34" s="332" t="str">
        <f>IF(B34="","",(IF(OR('Ingoing Substances'!O34="N",'Ingoing substances_DID'!O34="R"),"",K34)))</f>
        <v/>
      </c>
      <c r="N34" s="332" t="str">
        <f>IF(B34="","",IF(OR('Ingoing Substances'!O34="N",'Ingoing substances_DID'!Q34="Y"),"",K34))</f>
        <v/>
      </c>
      <c r="O34" s="385" t="str">
        <f>IF('Ingoing Substances'!U34="","",'Ingoing Substances'!U34*K34/100)</f>
        <v/>
      </c>
      <c r="P34" s="384" t="str">
        <f>IF(B34="","",C34*Product!$E$36/100)</f>
        <v/>
      </c>
      <c r="Q34" s="330" t="str">
        <f>IF(B34="","",P34*'Ingoing substances_DID'!M34/'Ingoing substances_DID'!N34*1000)</f>
        <v/>
      </c>
      <c r="R34" s="332" t="str">
        <f>IF(B34="","",(IF(OR('Ingoing Substances'!O34="N",'Ingoing substances_DID'!O34="R"),"",P34)))</f>
        <v/>
      </c>
      <c r="S34" s="332" t="str">
        <f>IF(B34="","",IF(OR('Ingoing Substances'!O34="N",'Ingoing substances_DID'!Q34="Y"),"",P34))</f>
        <v/>
      </c>
      <c r="T34" s="385" t="str">
        <f>IF('Ingoing Substances'!U34="","",'Ingoing Substances'!U34*P34/100)</f>
        <v/>
      </c>
    </row>
    <row r="35" spans="1:20" x14ac:dyDescent="0.15">
      <c r="A35" s="37">
        <v>24</v>
      </c>
      <c r="B35" s="328" t="str">
        <f>IF('Ingoing substances_DID'!B35="","",'Ingoing substances_DID'!B35)</f>
        <v/>
      </c>
      <c r="C35" s="329" t="str">
        <f>IF('Ingoing substances_DID'!G35="","",'Ingoing substances_DID'!G35)</f>
        <v/>
      </c>
      <c r="D35" s="331" t="str">
        <f>IF(OR('Ingoing Substances'!Q35="N",'Ingoing substances_DID'!O35="R"),"",C35)</f>
        <v/>
      </c>
      <c r="E35" s="376" t="str">
        <f>IF(OR('Ingoing Substances'!T35="N",'Ingoing substances_DID'!P35="Y"),"",C35)</f>
        <v/>
      </c>
      <c r="F35" s="384" t="str">
        <f>IF(B35="","",C35*Product!$C$36/100)</f>
        <v/>
      </c>
      <c r="G35" s="330" t="str">
        <f>IF(B35="","",F35*'Ingoing substances_DID'!M35/'Ingoing substances_DID'!N35*1000)</f>
        <v/>
      </c>
      <c r="H35" s="331" t="str">
        <f>IF(B35="","",(IF(OR('Ingoing Substances'!O35="N",'Ingoing substances_DID'!O35="R"),"",F35)))</f>
        <v/>
      </c>
      <c r="I35" s="331" t="str">
        <f>IF(B35="","",IF(OR('Ingoing Substances'!O35="N",'Ingoing substances_DID'!Q35="Y"),"",F35))</f>
        <v/>
      </c>
      <c r="J35" s="385" t="str">
        <f>IF('Ingoing Substances'!U35="","",'Ingoing Substances'!U35*F35/100)</f>
        <v/>
      </c>
      <c r="K35" s="384" t="str">
        <f>IF(B35="","",C35*Product!$D$36/100)</f>
        <v/>
      </c>
      <c r="L35" s="330" t="str">
        <f>IF(B35="","",K35*'Ingoing substances_DID'!M35/'Ingoing substances_DID'!N35*1000)</f>
        <v/>
      </c>
      <c r="M35" s="332" t="str">
        <f>IF(B35="","",(IF(OR('Ingoing Substances'!O35="N",'Ingoing substances_DID'!O35="R"),"",K35)))</f>
        <v/>
      </c>
      <c r="N35" s="332" t="str">
        <f>IF(B35="","",IF(OR('Ingoing Substances'!O35="N",'Ingoing substances_DID'!Q35="Y"),"",K35))</f>
        <v/>
      </c>
      <c r="O35" s="385" t="str">
        <f>IF('Ingoing Substances'!U35="","",'Ingoing Substances'!U35*K35/100)</f>
        <v/>
      </c>
      <c r="P35" s="384" t="str">
        <f>IF(B35="","",C35*Product!$E$36/100)</f>
        <v/>
      </c>
      <c r="Q35" s="330" t="str">
        <f>IF(B35="","",P35*'Ingoing substances_DID'!M35/'Ingoing substances_DID'!N35*1000)</f>
        <v/>
      </c>
      <c r="R35" s="332" t="str">
        <f>IF(B35="","",(IF(OR('Ingoing Substances'!O35="N",'Ingoing substances_DID'!O35="R"),"",P35)))</f>
        <v/>
      </c>
      <c r="S35" s="332" t="str">
        <f>IF(B35="","",IF(OR('Ingoing Substances'!O35="N",'Ingoing substances_DID'!Q35="Y"),"",P35))</f>
        <v/>
      </c>
      <c r="T35" s="385" t="str">
        <f>IF('Ingoing Substances'!U35="","",'Ingoing Substances'!U35*P35/100)</f>
        <v/>
      </c>
    </row>
    <row r="36" spans="1:20" x14ac:dyDescent="0.15">
      <c r="A36" s="37">
        <v>25</v>
      </c>
      <c r="B36" s="328" t="str">
        <f>IF('Ingoing substances_DID'!B36="","",'Ingoing substances_DID'!B36)</f>
        <v/>
      </c>
      <c r="C36" s="329" t="str">
        <f>IF('Ingoing substances_DID'!G36="","",'Ingoing substances_DID'!G36)</f>
        <v/>
      </c>
      <c r="D36" s="331" t="str">
        <f>IF(OR('Ingoing Substances'!Q36="N",'Ingoing substances_DID'!O36="R"),"",C36)</f>
        <v/>
      </c>
      <c r="E36" s="376" t="str">
        <f>IF(OR('Ingoing Substances'!T36="N",'Ingoing substances_DID'!P36="Y"),"",C36)</f>
        <v/>
      </c>
      <c r="F36" s="384" t="str">
        <f>IF(B36="","",C36*Product!$C$36/100)</f>
        <v/>
      </c>
      <c r="G36" s="330" t="str">
        <f>IF(B36="","",F36*'Ingoing substances_DID'!M36/'Ingoing substances_DID'!N36*1000)</f>
        <v/>
      </c>
      <c r="H36" s="331" t="str">
        <f>IF(B36="","",(IF(OR('Ingoing Substances'!O36="N",'Ingoing substances_DID'!O36="R"),"",F36)))</f>
        <v/>
      </c>
      <c r="I36" s="331" t="str">
        <f>IF(B36="","",IF(OR('Ingoing Substances'!O36="N",'Ingoing substances_DID'!Q36="Y"),"",F36))</f>
        <v/>
      </c>
      <c r="J36" s="385" t="str">
        <f>IF('Ingoing Substances'!U36="","",'Ingoing Substances'!U36*F36/100)</f>
        <v/>
      </c>
      <c r="K36" s="384" t="str">
        <f>IF(B36="","",C36*Product!$D$36/100)</f>
        <v/>
      </c>
      <c r="L36" s="330" t="str">
        <f>IF(B36="","",K36*'Ingoing substances_DID'!M36/'Ingoing substances_DID'!N36*1000)</f>
        <v/>
      </c>
      <c r="M36" s="332" t="str">
        <f>IF(B36="","",(IF(OR('Ingoing Substances'!O36="N",'Ingoing substances_DID'!O36="R"),"",K36)))</f>
        <v/>
      </c>
      <c r="N36" s="332" t="str">
        <f>IF(B36="","",IF(OR('Ingoing Substances'!O36="N",'Ingoing substances_DID'!Q36="Y"),"",K36))</f>
        <v/>
      </c>
      <c r="O36" s="385" t="str">
        <f>IF('Ingoing Substances'!U36="","",'Ingoing Substances'!U36*K36/100)</f>
        <v/>
      </c>
      <c r="P36" s="384" t="str">
        <f>IF(B36="","",C36*Product!$E$36/100)</f>
        <v/>
      </c>
      <c r="Q36" s="330" t="str">
        <f>IF(B36="","",P36*'Ingoing substances_DID'!M36/'Ingoing substances_DID'!N36*1000)</f>
        <v/>
      </c>
      <c r="R36" s="332" t="str">
        <f>IF(B36="","",(IF(OR('Ingoing Substances'!O36="N",'Ingoing substances_DID'!O36="R"),"",P36)))</f>
        <v/>
      </c>
      <c r="S36" s="332" t="str">
        <f>IF(B36="","",IF(OR('Ingoing Substances'!O36="N",'Ingoing substances_DID'!Q36="Y"),"",P36))</f>
        <v/>
      </c>
      <c r="T36" s="385" t="str">
        <f>IF('Ingoing Substances'!U36="","",'Ingoing Substances'!U36*P36/100)</f>
        <v/>
      </c>
    </row>
    <row r="37" spans="1:20" x14ac:dyDescent="0.15">
      <c r="A37" s="37">
        <v>26</v>
      </c>
      <c r="B37" s="328" t="str">
        <f>IF('Ingoing substances_DID'!B37="","",'Ingoing substances_DID'!B37)</f>
        <v/>
      </c>
      <c r="C37" s="329" t="str">
        <f>IF('Ingoing substances_DID'!G37="","",'Ingoing substances_DID'!G37)</f>
        <v/>
      </c>
      <c r="D37" s="331" t="str">
        <f>IF(OR('Ingoing Substances'!Q37="N",'Ingoing substances_DID'!O37="R"),"",C37)</f>
        <v/>
      </c>
      <c r="E37" s="376" t="str">
        <f>IF(OR('Ingoing Substances'!T37="N",'Ingoing substances_DID'!P37="Y"),"",C37)</f>
        <v/>
      </c>
      <c r="F37" s="384" t="str">
        <f>IF(B37="","",C37*Product!$C$36/100)</f>
        <v/>
      </c>
      <c r="G37" s="330" t="str">
        <f>IF(B37="","",F37*'Ingoing substances_DID'!M37/'Ingoing substances_DID'!N37*1000)</f>
        <v/>
      </c>
      <c r="H37" s="331" t="str">
        <f>IF(B37="","",(IF(OR('Ingoing Substances'!O37="N",'Ingoing substances_DID'!O37="R"),"",F37)))</f>
        <v/>
      </c>
      <c r="I37" s="331" t="str">
        <f>IF(B37="","",IF(OR('Ingoing Substances'!O37="N",'Ingoing substances_DID'!Q37="Y"),"",F37))</f>
        <v/>
      </c>
      <c r="J37" s="385" t="str">
        <f>IF('Ingoing Substances'!U37="","",'Ingoing Substances'!U37*F37/100)</f>
        <v/>
      </c>
      <c r="K37" s="384" t="str">
        <f>IF(B37="","",C37*Product!$D$36/100)</f>
        <v/>
      </c>
      <c r="L37" s="330" t="str">
        <f>IF(B37="","",K37*'Ingoing substances_DID'!M37/'Ingoing substances_DID'!N37*1000)</f>
        <v/>
      </c>
      <c r="M37" s="332" t="str">
        <f>IF(B37="","",(IF(OR('Ingoing Substances'!O37="N",'Ingoing substances_DID'!O37="R"),"",K37)))</f>
        <v/>
      </c>
      <c r="N37" s="332" t="str">
        <f>IF(B37="","",IF(OR('Ingoing Substances'!O37="N",'Ingoing substances_DID'!Q37="Y"),"",K37))</f>
        <v/>
      </c>
      <c r="O37" s="385" t="str">
        <f>IF('Ingoing Substances'!U37="","",'Ingoing Substances'!U37*K37/100)</f>
        <v/>
      </c>
      <c r="P37" s="384" t="str">
        <f>IF(B37="","",C37*Product!$E$36/100)</f>
        <v/>
      </c>
      <c r="Q37" s="330" t="str">
        <f>IF(B37="","",P37*'Ingoing substances_DID'!M37/'Ingoing substances_DID'!N37*1000)</f>
        <v/>
      </c>
      <c r="R37" s="332" t="str">
        <f>IF(B37="","",(IF(OR('Ingoing Substances'!O37="N",'Ingoing substances_DID'!O37="R"),"",P37)))</f>
        <v/>
      </c>
      <c r="S37" s="332" t="str">
        <f>IF(B37="","",IF(OR('Ingoing Substances'!O37="N",'Ingoing substances_DID'!Q37="Y"),"",P37))</f>
        <v/>
      </c>
      <c r="T37" s="385" t="str">
        <f>IF('Ingoing Substances'!U37="","",'Ingoing Substances'!U37*P37/100)</f>
        <v/>
      </c>
    </row>
    <row r="38" spans="1:20" x14ac:dyDescent="0.15">
      <c r="A38" s="37">
        <v>27</v>
      </c>
      <c r="B38" s="328" t="str">
        <f>IF('Ingoing substances_DID'!B38="","",'Ingoing substances_DID'!B38)</f>
        <v/>
      </c>
      <c r="C38" s="329" t="str">
        <f>IF('Ingoing substances_DID'!G38="","",'Ingoing substances_DID'!G38)</f>
        <v/>
      </c>
      <c r="D38" s="331" t="str">
        <f>IF(OR('Ingoing Substances'!Q38="N",'Ingoing substances_DID'!O38="R"),"",C38)</f>
        <v/>
      </c>
      <c r="E38" s="376" t="str">
        <f>IF(OR('Ingoing Substances'!T38="N",'Ingoing substances_DID'!P38="Y"),"",C38)</f>
        <v/>
      </c>
      <c r="F38" s="384" t="str">
        <f>IF(B38="","",C38*Product!$C$36/100)</f>
        <v/>
      </c>
      <c r="G38" s="330" t="str">
        <f>IF(B38="","",F38*'Ingoing substances_DID'!M38/'Ingoing substances_DID'!N38*1000)</f>
        <v/>
      </c>
      <c r="H38" s="331" t="str">
        <f>IF(B38="","",(IF(OR('Ingoing Substances'!O38="N",'Ingoing substances_DID'!O38="R"),"",F38)))</f>
        <v/>
      </c>
      <c r="I38" s="331" t="str">
        <f>IF(B38="","",IF(OR('Ingoing Substances'!O38="N",'Ingoing substances_DID'!Q38="Y"),"",F38))</f>
        <v/>
      </c>
      <c r="J38" s="385" t="str">
        <f>IF('Ingoing Substances'!U38="","",'Ingoing Substances'!U38*F38/100)</f>
        <v/>
      </c>
      <c r="K38" s="384" t="str">
        <f>IF(B38="","",C38*Product!$D$36/100)</f>
        <v/>
      </c>
      <c r="L38" s="330" t="str">
        <f>IF(B38="","",K38*'Ingoing substances_DID'!M38/'Ingoing substances_DID'!N38*1000)</f>
        <v/>
      </c>
      <c r="M38" s="332" t="str">
        <f>IF(B38="","",(IF(OR('Ingoing Substances'!O38="N",'Ingoing substances_DID'!O38="R"),"",K38)))</f>
        <v/>
      </c>
      <c r="N38" s="332" t="str">
        <f>IF(B38="","",IF(OR('Ingoing Substances'!O38="N",'Ingoing substances_DID'!Q38="Y"),"",K38))</f>
        <v/>
      </c>
      <c r="O38" s="385" t="str">
        <f>IF('Ingoing Substances'!U38="","",'Ingoing Substances'!U38*K38/100)</f>
        <v/>
      </c>
      <c r="P38" s="384" t="str">
        <f>IF(B38="","",C38*Product!$E$36/100)</f>
        <v/>
      </c>
      <c r="Q38" s="330" t="str">
        <f>IF(B38="","",P38*'Ingoing substances_DID'!M38/'Ingoing substances_DID'!N38*1000)</f>
        <v/>
      </c>
      <c r="R38" s="332" t="str">
        <f>IF(B38="","",(IF(OR('Ingoing Substances'!O38="N",'Ingoing substances_DID'!O38="R"),"",P38)))</f>
        <v/>
      </c>
      <c r="S38" s="332" t="str">
        <f>IF(B38="","",IF(OR('Ingoing Substances'!O38="N",'Ingoing substances_DID'!Q38="Y"),"",P38))</f>
        <v/>
      </c>
      <c r="T38" s="385" t="str">
        <f>IF('Ingoing Substances'!U38="","",'Ingoing Substances'!U38*P38/100)</f>
        <v/>
      </c>
    </row>
    <row r="39" spans="1:20" x14ac:dyDescent="0.15">
      <c r="A39" s="37">
        <v>28</v>
      </c>
      <c r="B39" s="328" t="str">
        <f>IF('Ingoing substances_DID'!B39="","",'Ingoing substances_DID'!B39)</f>
        <v/>
      </c>
      <c r="C39" s="329" t="str">
        <f>IF('Ingoing substances_DID'!G39="","",'Ingoing substances_DID'!G39)</f>
        <v/>
      </c>
      <c r="D39" s="331" t="str">
        <f>IF(OR('Ingoing Substances'!Q39="N",'Ingoing substances_DID'!O39="R"),"",C39)</f>
        <v/>
      </c>
      <c r="E39" s="376" t="str">
        <f>IF(OR('Ingoing Substances'!T39="N",'Ingoing substances_DID'!P39="Y"),"",C39)</f>
        <v/>
      </c>
      <c r="F39" s="384" t="str">
        <f>IF(B39="","",C39*Product!$C$36/100)</f>
        <v/>
      </c>
      <c r="G39" s="330" t="str">
        <f>IF(B39="","",F39*'Ingoing substances_DID'!M39/'Ingoing substances_DID'!N39*1000)</f>
        <v/>
      </c>
      <c r="H39" s="331" t="str">
        <f>IF(B39="","",(IF(OR('Ingoing Substances'!O39="N",'Ingoing substances_DID'!O39="R"),"",F39)))</f>
        <v/>
      </c>
      <c r="I39" s="331" t="str">
        <f>IF(B39="","",IF(OR('Ingoing Substances'!O39="N",'Ingoing substances_DID'!Q39="Y"),"",F39))</f>
        <v/>
      </c>
      <c r="J39" s="385" t="str">
        <f>IF('Ingoing Substances'!U39="","",'Ingoing Substances'!U39*F39/100)</f>
        <v/>
      </c>
      <c r="K39" s="384" t="str">
        <f>IF(B39="","",C39*Product!$D$36/100)</f>
        <v/>
      </c>
      <c r="L39" s="330" t="str">
        <f>IF(B39="","",K39*'Ingoing substances_DID'!M39/'Ingoing substances_DID'!N39*1000)</f>
        <v/>
      </c>
      <c r="M39" s="332" t="str">
        <f>IF(B39="","",(IF(OR('Ingoing Substances'!O39="N",'Ingoing substances_DID'!O39="R"),"",K39)))</f>
        <v/>
      </c>
      <c r="N39" s="332" t="str">
        <f>IF(B39="","",IF(OR('Ingoing Substances'!O39="N",'Ingoing substances_DID'!Q39="Y"),"",K39))</f>
        <v/>
      </c>
      <c r="O39" s="385" t="str">
        <f>IF('Ingoing Substances'!U39="","",'Ingoing Substances'!U39*K39/100)</f>
        <v/>
      </c>
      <c r="P39" s="384" t="str">
        <f>IF(B39="","",C39*Product!$E$36/100)</f>
        <v/>
      </c>
      <c r="Q39" s="330" t="str">
        <f>IF(B39="","",P39*'Ingoing substances_DID'!M39/'Ingoing substances_DID'!N39*1000)</f>
        <v/>
      </c>
      <c r="R39" s="332" t="str">
        <f>IF(B39="","",(IF(OR('Ingoing Substances'!O39="N",'Ingoing substances_DID'!O39="R"),"",P39)))</f>
        <v/>
      </c>
      <c r="S39" s="332" t="str">
        <f>IF(B39="","",IF(OR('Ingoing Substances'!O39="N",'Ingoing substances_DID'!Q39="Y"),"",P39))</f>
        <v/>
      </c>
      <c r="T39" s="385" t="str">
        <f>IF('Ingoing Substances'!U39="","",'Ingoing Substances'!U39*P39/100)</f>
        <v/>
      </c>
    </row>
    <row r="40" spans="1:20" x14ac:dyDescent="0.15">
      <c r="A40" s="37">
        <v>29</v>
      </c>
      <c r="B40" s="328" t="str">
        <f>IF('Ingoing substances_DID'!B40="","",'Ingoing substances_DID'!B40)</f>
        <v/>
      </c>
      <c r="C40" s="329" t="str">
        <f>IF('Ingoing substances_DID'!G40="","",'Ingoing substances_DID'!G40)</f>
        <v/>
      </c>
      <c r="D40" s="331" t="str">
        <f>IF(OR('Ingoing Substances'!Q40="N",'Ingoing substances_DID'!O40="R"),"",C40)</f>
        <v/>
      </c>
      <c r="E40" s="376" t="str">
        <f>IF(OR('Ingoing Substances'!T40="N",'Ingoing substances_DID'!P40="Y"),"",C40)</f>
        <v/>
      </c>
      <c r="F40" s="384" t="str">
        <f>IF(B40="","",C40*Product!$C$36/100)</f>
        <v/>
      </c>
      <c r="G40" s="330" t="str">
        <f>IF(B40="","",F40*'Ingoing substances_DID'!M40/'Ingoing substances_DID'!N40*1000)</f>
        <v/>
      </c>
      <c r="H40" s="331" t="str">
        <f>IF(B40="","",(IF(OR('Ingoing Substances'!O40="N",'Ingoing substances_DID'!O40="R"),"",F40)))</f>
        <v/>
      </c>
      <c r="I40" s="331" t="str">
        <f>IF(B40="","",IF(OR('Ingoing Substances'!O40="N",'Ingoing substances_DID'!Q40="Y"),"",F40))</f>
        <v/>
      </c>
      <c r="J40" s="385" t="str">
        <f>IF('Ingoing Substances'!U40="","",'Ingoing Substances'!U40*F40/100)</f>
        <v/>
      </c>
      <c r="K40" s="384" t="str">
        <f>IF(B40="","",C40*Product!$D$36/100)</f>
        <v/>
      </c>
      <c r="L40" s="330" t="str">
        <f>IF(B40="","",K40*'Ingoing substances_DID'!M40/'Ingoing substances_DID'!N40*1000)</f>
        <v/>
      </c>
      <c r="M40" s="332" t="str">
        <f>IF(B40="","",(IF(OR('Ingoing Substances'!O40="N",'Ingoing substances_DID'!O40="R"),"",K40)))</f>
        <v/>
      </c>
      <c r="N40" s="332" t="str">
        <f>IF(B40="","",IF(OR('Ingoing Substances'!O40="N",'Ingoing substances_DID'!Q40="Y"),"",K40))</f>
        <v/>
      </c>
      <c r="O40" s="385" t="str">
        <f>IF('Ingoing Substances'!U40="","",'Ingoing Substances'!U40*K40/100)</f>
        <v/>
      </c>
      <c r="P40" s="384" t="str">
        <f>IF(B40="","",C40*Product!$E$36/100)</f>
        <v/>
      </c>
      <c r="Q40" s="330" t="str">
        <f>IF(B40="","",P40*'Ingoing substances_DID'!M40/'Ingoing substances_DID'!N40*1000)</f>
        <v/>
      </c>
      <c r="R40" s="332" t="str">
        <f>IF(B40="","",(IF(OR('Ingoing Substances'!O40="N",'Ingoing substances_DID'!O40="R"),"",P40)))</f>
        <v/>
      </c>
      <c r="S40" s="332" t="str">
        <f>IF(B40="","",IF(OR('Ingoing Substances'!O40="N",'Ingoing substances_DID'!Q40="Y"),"",P40))</f>
        <v/>
      </c>
      <c r="T40" s="385" t="str">
        <f>IF('Ingoing Substances'!U40="","",'Ingoing Substances'!U40*P40/100)</f>
        <v/>
      </c>
    </row>
    <row r="41" spans="1:20" x14ac:dyDescent="0.15">
      <c r="A41" s="37">
        <v>30</v>
      </c>
      <c r="B41" s="328" t="str">
        <f>IF('Ingoing substances_DID'!B41="","",'Ingoing substances_DID'!B41)</f>
        <v/>
      </c>
      <c r="C41" s="329" t="str">
        <f>IF('Ingoing substances_DID'!G41="","",'Ingoing substances_DID'!G41)</f>
        <v/>
      </c>
      <c r="D41" s="331" t="str">
        <f>IF(OR('Ingoing Substances'!Q41="N",'Ingoing substances_DID'!O41="R"),"",C41)</f>
        <v/>
      </c>
      <c r="E41" s="376" t="str">
        <f>IF(OR('Ingoing Substances'!T41="N",'Ingoing substances_DID'!P41="Y"),"",C41)</f>
        <v/>
      </c>
      <c r="F41" s="384" t="str">
        <f>IF(B41="","",C41*Product!$C$36/100)</f>
        <v/>
      </c>
      <c r="G41" s="330" t="str">
        <f>IF(B41="","",F41*'Ingoing substances_DID'!M41/'Ingoing substances_DID'!N41*1000)</f>
        <v/>
      </c>
      <c r="H41" s="331" t="str">
        <f>IF(B41="","",(IF(OR('Ingoing Substances'!O41="N",'Ingoing substances_DID'!O41="R"),"",F41)))</f>
        <v/>
      </c>
      <c r="I41" s="331" t="str">
        <f>IF(B41="","",IF(OR('Ingoing Substances'!O41="N",'Ingoing substances_DID'!Q41="Y"),"",F41))</f>
        <v/>
      </c>
      <c r="J41" s="385" t="str">
        <f>IF('Ingoing Substances'!U41="","",'Ingoing Substances'!U41*F41/100)</f>
        <v/>
      </c>
      <c r="K41" s="384" t="str">
        <f>IF(B41="","",C41*Product!$D$36/100)</f>
        <v/>
      </c>
      <c r="L41" s="330" t="str">
        <f>IF(B41="","",K41*'Ingoing substances_DID'!M41/'Ingoing substances_DID'!N41*1000)</f>
        <v/>
      </c>
      <c r="M41" s="332" t="str">
        <f>IF(B41="","",(IF(OR('Ingoing Substances'!O41="N",'Ingoing substances_DID'!O41="R"),"",K41)))</f>
        <v/>
      </c>
      <c r="N41" s="332" t="str">
        <f>IF(B41="","",IF(OR('Ingoing Substances'!O41="N",'Ingoing substances_DID'!Q41="Y"),"",K41))</f>
        <v/>
      </c>
      <c r="O41" s="385" t="str">
        <f>IF('Ingoing Substances'!U41="","",'Ingoing Substances'!U41*K41/100)</f>
        <v/>
      </c>
      <c r="P41" s="384" t="str">
        <f>IF(B41="","",C41*Product!$E$36/100)</f>
        <v/>
      </c>
      <c r="Q41" s="330" t="str">
        <f>IF(B41="","",P41*'Ingoing substances_DID'!M41/'Ingoing substances_DID'!N41*1000)</f>
        <v/>
      </c>
      <c r="R41" s="332" t="str">
        <f>IF(B41="","",(IF(OR('Ingoing Substances'!O41="N",'Ingoing substances_DID'!O41="R"),"",P41)))</f>
        <v/>
      </c>
      <c r="S41" s="332" t="str">
        <f>IF(B41="","",IF(OR('Ingoing Substances'!O41="N",'Ingoing substances_DID'!Q41="Y"),"",P41))</f>
        <v/>
      </c>
      <c r="T41" s="385" t="str">
        <f>IF('Ingoing Substances'!U41="","",'Ingoing Substances'!U41*P41/100)</f>
        <v/>
      </c>
    </row>
    <row r="42" spans="1:20" x14ac:dyDescent="0.15">
      <c r="A42" s="37">
        <v>31</v>
      </c>
      <c r="B42" s="328" t="str">
        <f>IF('Ingoing substances_DID'!B42="","",'Ingoing substances_DID'!B42)</f>
        <v/>
      </c>
      <c r="C42" s="329" t="str">
        <f>IF('Ingoing substances_DID'!G42="","",'Ingoing substances_DID'!G42)</f>
        <v/>
      </c>
      <c r="D42" s="331" t="str">
        <f>IF(OR('Ingoing Substances'!Q42="N",'Ingoing substances_DID'!O42="R"),"",C42)</f>
        <v/>
      </c>
      <c r="E42" s="376" t="str">
        <f>IF(OR('Ingoing Substances'!T42="N",'Ingoing substances_DID'!P42="Y"),"",C42)</f>
        <v/>
      </c>
      <c r="F42" s="384" t="str">
        <f>IF(B42="","",C42*Product!$C$36/100)</f>
        <v/>
      </c>
      <c r="G42" s="330" t="str">
        <f>IF(B42="","",F42*'Ingoing substances_DID'!M42/'Ingoing substances_DID'!N42*1000)</f>
        <v/>
      </c>
      <c r="H42" s="331" t="str">
        <f>IF(B42="","",(IF(OR('Ingoing Substances'!O42="N",'Ingoing substances_DID'!O42="R"),"",F42)))</f>
        <v/>
      </c>
      <c r="I42" s="331" t="str">
        <f>IF(B42="","",IF(OR('Ingoing Substances'!O42="N",'Ingoing substances_DID'!Q42="Y"),"",F42))</f>
        <v/>
      </c>
      <c r="J42" s="385" t="str">
        <f>IF('Ingoing Substances'!U42="","",'Ingoing Substances'!U42*F42/100)</f>
        <v/>
      </c>
      <c r="K42" s="384" t="str">
        <f>IF(B42="","",C42*Product!$D$36/100)</f>
        <v/>
      </c>
      <c r="L42" s="330" t="str">
        <f>IF(B42="","",K42*'Ingoing substances_DID'!M42/'Ingoing substances_DID'!N42*1000)</f>
        <v/>
      </c>
      <c r="M42" s="332" t="str">
        <f>IF(B42="","",(IF(OR('Ingoing Substances'!O42="N",'Ingoing substances_DID'!O42="R"),"",K42)))</f>
        <v/>
      </c>
      <c r="N42" s="332" t="str">
        <f>IF(B42="","",IF(OR('Ingoing Substances'!O42="N",'Ingoing substances_DID'!Q42="Y"),"",K42))</f>
        <v/>
      </c>
      <c r="O42" s="385" t="str">
        <f>IF('Ingoing Substances'!U42="","",'Ingoing Substances'!U42*K42/100)</f>
        <v/>
      </c>
      <c r="P42" s="384" t="str">
        <f>IF(B42="","",C42*Product!$E$36/100)</f>
        <v/>
      </c>
      <c r="Q42" s="330" t="str">
        <f>IF(B42="","",P42*'Ingoing substances_DID'!M42/'Ingoing substances_DID'!N42*1000)</f>
        <v/>
      </c>
      <c r="R42" s="332" t="str">
        <f>IF(B42="","",(IF(OR('Ingoing Substances'!O42="N",'Ingoing substances_DID'!O42="R"),"",P42)))</f>
        <v/>
      </c>
      <c r="S42" s="332" t="str">
        <f>IF(B42="","",IF(OR('Ingoing Substances'!O42="N",'Ingoing substances_DID'!Q42="Y"),"",P42))</f>
        <v/>
      </c>
      <c r="T42" s="385" t="str">
        <f>IF('Ingoing Substances'!U42="","",'Ingoing Substances'!U42*P42/100)</f>
        <v/>
      </c>
    </row>
    <row r="43" spans="1:20" x14ac:dyDescent="0.15">
      <c r="A43" s="37">
        <v>32</v>
      </c>
      <c r="B43" s="328" t="str">
        <f>IF('Ingoing substances_DID'!B43="","",'Ingoing substances_DID'!B43)</f>
        <v/>
      </c>
      <c r="C43" s="329" t="str">
        <f>IF('Ingoing substances_DID'!G43="","",'Ingoing substances_DID'!G43)</f>
        <v/>
      </c>
      <c r="D43" s="331" t="str">
        <f>IF(OR('Ingoing Substances'!Q43="N",'Ingoing substances_DID'!O43="R"),"",C43)</f>
        <v/>
      </c>
      <c r="E43" s="376" t="str">
        <f>IF(OR('Ingoing Substances'!T43="N",'Ingoing substances_DID'!P43="Y"),"",C43)</f>
        <v/>
      </c>
      <c r="F43" s="384" t="str">
        <f>IF(B43="","",C43*Product!$C$36/100)</f>
        <v/>
      </c>
      <c r="G43" s="330" t="str">
        <f>IF(B43="","",F43*'Ingoing substances_DID'!M43/'Ingoing substances_DID'!N43*1000)</f>
        <v/>
      </c>
      <c r="H43" s="331" t="str">
        <f>IF(B43="","",(IF(OR('Ingoing Substances'!O43="N",'Ingoing substances_DID'!O43="R"),"",F43)))</f>
        <v/>
      </c>
      <c r="I43" s="331" t="str">
        <f>IF(B43="","",IF(OR('Ingoing Substances'!O43="N",'Ingoing substances_DID'!Q43="Y"),"",F43))</f>
        <v/>
      </c>
      <c r="J43" s="385" t="str">
        <f>IF('Ingoing Substances'!U43="","",'Ingoing Substances'!U43*F43/100)</f>
        <v/>
      </c>
      <c r="K43" s="384" t="str">
        <f>IF(B43="","",C43*Product!$D$36/100)</f>
        <v/>
      </c>
      <c r="L43" s="330" t="str">
        <f>IF(B43="","",K43*'Ingoing substances_DID'!M43/'Ingoing substances_DID'!N43*1000)</f>
        <v/>
      </c>
      <c r="M43" s="332" t="str">
        <f>IF(B43="","",(IF(OR('Ingoing Substances'!O43="N",'Ingoing substances_DID'!O43="R"),"",K43)))</f>
        <v/>
      </c>
      <c r="N43" s="332" t="str">
        <f>IF(B43="","",IF(OR('Ingoing Substances'!O43="N",'Ingoing substances_DID'!Q43="Y"),"",K43))</f>
        <v/>
      </c>
      <c r="O43" s="385" t="str">
        <f>IF('Ingoing Substances'!U43="","",'Ingoing Substances'!U43*K43/100)</f>
        <v/>
      </c>
      <c r="P43" s="384" t="str">
        <f>IF(B43="","",C43*Product!$E$36/100)</f>
        <v/>
      </c>
      <c r="Q43" s="330" t="str">
        <f>IF(B43="","",P43*'Ingoing substances_DID'!M43/'Ingoing substances_DID'!N43*1000)</f>
        <v/>
      </c>
      <c r="R43" s="332" t="str">
        <f>IF(B43="","",(IF(OR('Ingoing Substances'!O43="N",'Ingoing substances_DID'!O43="R"),"",P43)))</f>
        <v/>
      </c>
      <c r="S43" s="332" t="str">
        <f>IF(B43="","",IF(OR('Ingoing Substances'!O43="N",'Ingoing substances_DID'!Q43="Y"),"",P43))</f>
        <v/>
      </c>
      <c r="T43" s="385" t="str">
        <f>IF('Ingoing Substances'!U43="","",'Ingoing Substances'!U43*P43/100)</f>
        <v/>
      </c>
    </row>
    <row r="44" spans="1:20" x14ac:dyDescent="0.15">
      <c r="A44" s="37">
        <v>33</v>
      </c>
      <c r="B44" s="328" t="str">
        <f>IF('Ingoing substances_DID'!B44="","",'Ingoing substances_DID'!B44)</f>
        <v/>
      </c>
      <c r="C44" s="329" t="str">
        <f>IF('Ingoing substances_DID'!G44="","",'Ingoing substances_DID'!G44)</f>
        <v/>
      </c>
      <c r="D44" s="331" t="str">
        <f>IF(OR('Ingoing Substances'!Q44="N",'Ingoing substances_DID'!O44="R"),"",C44)</f>
        <v/>
      </c>
      <c r="E44" s="376" t="str">
        <f>IF(OR('Ingoing Substances'!T44="N",'Ingoing substances_DID'!P44="Y"),"",C44)</f>
        <v/>
      </c>
      <c r="F44" s="384" t="str">
        <f>IF(B44="","",C44*Product!$C$36/100)</f>
        <v/>
      </c>
      <c r="G44" s="330" t="str">
        <f>IF(B44="","",F44*'Ingoing substances_DID'!M44/'Ingoing substances_DID'!N44*1000)</f>
        <v/>
      </c>
      <c r="H44" s="331" t="str">
        <f>IF(B44="","",(IF(OR('Ingoing Substances'!O44="N",'Ingoing substances_DID'!O44="R"),"",F44)))</f>
        <v/>
      </c>
      <c r="I44" s="331" t="str">
        <f>IF(B44="","",IF(OR('Ingoing Substances'!O44="N",'Ingoing substances_DID'!Q44="Y"),"",F44))</f>
        <v/>
      </c>
      <c r="J44" s="385" t="str">
        <f>IF('Ingoing Substances'!U44="","",'Ingoing Substances'!U44*F44/100)</f>
        <v/>
      </c>
      <c r="K44" s="384" t="str">
        <f>IF(B44="","",C44*Product!$D$36/100)</f>
        <v/>
      </c>
      <c r="L44" s="330" t="str">
        <f>IF(B44="","",K44*'Ingoing substances_DID'!M44/'Ingoing substances_DID'!N44*1000)</f>
        <v/>
      </c>
      <c r="M44" s="332" t="str">
        <f>IF(B44="","",(IF(OR('Ingoing Substances'!O44="N",'Ingoing substances_DID'!O44="R"),"",K44)))</f>
        <v/>
      </c>
      <c r="N44" s="332" t="str">
        <f>IF(B44="","",IF(OR('Ingoing Substances'!O44="N",'Ingoing substances_DID'!Q44="Y"),"",K44))</f>
        <v/>
      </c>
      <c r="O44" s="385" t="str">
        <f>IF('Ingoing Substances'!U44="","",'Ingoing Substances'!U44*K44/100)</f>
        <v/>
      </c>
      <c r="P44" s="384" t="str">
        <f>IF(B44="","",C44*Product!$E$36/100)</f>
        <v/>
      </c>
      <c r="Q44" s="330" t="str">
        <f>IF(B44="","",P44*'Ingoing substances_DID'!M44/'Ingoing substances_DID'!N44*1000)</f>
        <v/>
      </c>
      <c r="R44" s="332" t="str">
        <f>IF(B44="","",(IF(OR('Ingoing Substances'!O44="N",'Ingoing substances_DID'!O44="R"),"",P44)))</f>
        <v/>
      </c>
      <c r="S44" s="332" t="str">
        <f>IF(B44="","",IF(OR('Ingoing Substances'!O44="N",'Ingoing substances_DID'!Q44="Y"),"",P44))</f>
        <v/>
      </c>
      <c r="T44" s="385" t="str">
        <f>IF('Ingoing Substances'!U44="","",'Ingoing Substances'!U44*P44/100)</f>
        <v/>
      </c>
    </row>
    <row r="45" spans="1:20" x14ac:dyDescent="0.15">
      <c r="A45" s="37">
        <v>34</v>
      </c>
      <c r="B45" s="328" t="str">
        <f>IF('Ingoing substances_DID'!B45="","",'Ingoing substances_DID'!B45)</f>
        <v/>
      </c>
      <c r="C45" s="329" t="str">
        <f>IF('Ingoing substances_DID'!G45="","",'Ingoing substances_DID'!G45)</f>
        <v/>
      </c>
      <c r="D45" s="331" t="str">
        <f>IF(OR('Ingoing Substances'!Q45="N",'Ingoing substances_DID'!O45="R"),"",C45)</f>
        <v/>
      </c>
      <c r="E45" s="376" t="str">
        <f>IF(OR('Ingoing Substances'!T45="N",'Ingoing substances_DID'!P45="Y"),"",C45)</f>
        <v/>
      </c>
      <c r="F45" s="384" t="str">
        <f>IF(B45="","",C45*Product!$C$36/100)</f>
        <v/>
      </c>
      <c r="G45" s="330" t="str">
        <f>IF(B45="","",F45*'Ingoing substances_DID'!M45/'Ingoing substances_DID'!N45*1000)</f>
        <v/>
      </c>
      <c r="H45" s="331" t="str">
        <f>IF(B45="","",(IF(OR('Ingoing Substances'!O45="N",'Ingoing substances_DID'!O45="R"),"",F45)))</f>
        <v/>
      </c>
      <c r="I45" s="331" t="str">
        <f>IF(B45="","",IF(OR('Ingoing Substances'!O45="N",'Ingoing substances_DID'!Q45="Y"),"",F45))</f>
        <v/>
      </c>
      <c r="J45" s="385" t="str">
        <f>IF('Ingoing Substances'!U45="","",'Ingoing Substances'!U45*F45/100)</f>
        <v/>
      </c>
      <c r="K45" s="384" t="str">
        <f>IF(B45="","",C45*Product!$D$36/100)</f>
        <v/>
      </c>
      <c r="L45" s="330" t="str">
        <f>IF(B45="","",K45*'Ingoing substances_DID'!M45/'Ingoing substances_DID'!N45*1000)</f>
        <v/>
      </c>
      <c r="M45" s="332" t="str">
        <f>IF(B45="","",(IF(OR('Ingoing Substances'!O45="N",'Ingoing substances_DID'!O45="R"),"",K45)))</f>
        <v/>
      </c>
      <c r="N45" s="332" t="str">
        <f>IF(B45="","",IF(OR('Ingoing Substances'!O45="N",'Ingoing substances_DID'!Q45="Y"),"",K45))</f>
        <v/>
      </c>
      <c r="O45" s="385" t="str">
        <f>IF('Ingoing Substances'!U45="","",'Ingoing Substances'!U45*K45/100)</f>
        <v/>
      </c>
      <c r="P45" s="384" t="str">
        <f>IF(B45="","",C45*Product!$E$36/100)</f>
        <v/>
      </c>
      <c r="Q45" s="330" t="str">
        <f>IF(B45="","",P45*'Ingoing substances_DID'!M45/'Ingoing substances_DID'!N45*1000)</f>
        <v/>
      </c>
      <c r="R45" s="332" t="str">
        <f>IF(B45="","",(IF(OR('Ingoing Substances'!O45="N",'Ingoing substances_DID'!O45="R"),"",P45)))</f>
        <v/>
      </c>
      <c r="S45" s="332" t="str">
        <f>IF(B45="","",IF(OR('Ingoing Substances'!O45="N",'Ingoing substances_DID'!Q45="Y"),"",P45))</f>
        <v/>
      </c>
      <c r="T45" s="385" t="str">
        <f>IF('Ingoing Substances'!U45="","",'Ingoing Substances'!U45*P45/100)</f>
        <v/>
      </c>
    </row>
    <row r="46" spans="1:20" x14ac:dyDescent="0.15">
      <c r="A46" s="37">
        <v>35</v>
      </c>
      <c r="B46" s="328" t="str">
        <f>IF('Ingoing substances_DID'!B46="","",'Ingoing substances_DID'!B46)</f>
        <v/>
      </c>
      <c r="C46" s="329" t="str">
        <f>IF('Ingoing substances_DID'!G46="","",'Ingoing substances_DID'!G46)</f>
        <v/>
      </c>
      <c r="D46" s="331" t="str">
        <f>IF(OR('Ingoing Substances'!Q46="N",'Ingoing substances_DID'!O46="R"),"",C46)</f>
        <v/>
      </c>
      <c r="E46" s="376" t="str">
        <f>IF(OR('Ingoing Substances'!T46="N",'Ingoing substances_DID'!P46="Y"),"",C46)</f>
        <v/>
      </c>
      <c r="F46" s="384" t="str">
        <f>IF(B46="","",C46*Product!$C$36/100)</f>
        <v/>
      </c>
      <c r="G46" s="330" t="str">
        <f>IF(B46="","",F46*'Ingoing substances_DID'!M46/'Ingoing substances_DID'!N46*1000)</f>
        <v/>
      </c>
      <c r="H46" s="331" t="str">
        <f>IF(B46="","",(IF(OR('Ingoing Substances'!O46="N",'Ingoing substances_DID'!O46="R"),"",F46)))</f>
        <v/>
      </c>
      <c r="I46" s="331" t="str">
        <f>IF(B46="","",IF(OR('Ingoing Substances'!O46="N",'Ingoing substances_DID'!Q46="Y"),"",F46))</f>
        <v/>
      </c>
      <c r="J46" s="385" t="str">
        <f>IF('Ingoing Substances'!U46="","",'Ingoing Substances'!U46*F46/100)</f>
        <v/>
      </c>
      <c r="K46" s="384" t="str">
        <f>IF(B46="","",C46*Product!$D$36/100)</f>
        <v/>
      </c>
      <c r="L46" s="330" t="str">
        <f>IF(B46="","",K46*'Ingoing substances_DID'!M46/'Ingoing substances_DID'!N46*1000)</f>
        <v/>
      </c>
      <c r="M46" s="332" t="str">
        <f>IF(B46="","",(IF(OR('Ingoing Substances'!O46="N",'Ingoing substances_DID'!O46="R"),"",K46)))</f>
        <v/>
      </c>
      <c r="N46" s="332" t="str">
        <f>IF(B46="","",IF(OR('Ingoing Substances'!O46="N",'Ingoing substances_DID'!Q46="Y"),"",K46))</f>
        <v/>
      </c>
      <c r="O46" s="385" t="str">
        <f>IF('Ingoing Substances'!U46="","",'Ingoing Substances'!U46*K46/100)</f>
        <v/>
      </c>
      <c r="P46" s="384" t="str">
        <f>IF(B46="","",C46*Product!$E$36/100)</f>
        <v/>
      </c>
      <c r="Q46" s="330" t="str">
        <f>IF(B46="","",P46*'Ingoing substances_DID'!M46/'Ingoing substances_DID'!N46*1000)</f>
        <v/>
      </c>
      <c r="R46" s="332" t="str">
        <f>IF(B46="","",(IF(OR('Ingoing Substances'!O46="N",'Ingoing substances_DID'!O46="R"),"",P46)))</f>
        <v/>
      </c>
      <c r="S46" s="332" t="str">
        <f>IF(B46="","",IF(OR('Ingoing Substances'!O46="N",'Ingoing substances_DID'!Q46="Y"),"",P46))</f>
        <v/>
      </c>
      <c r="T46" s="385" t="str">
        <f>IF('Ingoing Substances'!U46="","",'Ingoing Substances'!U46*P46/100)</f>
        <v/>
      </c>
    </row>
    <row r="47" spans="1:20" x14ac:dyDescent="0.15">
      <c r="A47" s="37">
        <v>36</v>
      </c>
      <c r="B47" s="328" t="str">
        <f>IF('Ingoing substances_DID'!B47="","",'Ingoing substances_DID'!B47)</f>
        <v/>
      </c>
      <c r="C47" s="329" t="str">
        <f>IF('Ingoing substances_DID'!G47="","",'Ingoing substances_DID'!G47)</f>
        <v/>
      </c>
      <c r="D47" s="331" t="str">
        <f>IF(OR('Ingoing Substances'!Q47="N",'Ingoing substances_DID'!O47="R"),"",C47)</f>
        <v/>
      </c>
      <c r="E47" s="376" t="str">
        <f>IF(OR('Ingoing Substances'!T47="N",'Ingoing substances_DID'!P47="Y"),"",C47)</f>
        <v/>
      </c>
      <c r="F47" s="384" t="str">
        <f>IF(B47="","",C47*Product!$C$36/100)</f>
        <v/>
      </c>
      <c r="G47" s="330" t="str">
        <f>IF(B47="","",F47*'Ingoing substances_DID'!M47/'Ingoing substances_DID'!N47*1000)</f>
        <v/>
      </c>
      <c r="H47" s="331" t="str">
        <f>IF(B47="","",(IF(OR('Ingoing Substances'!O47="N",'Ingoing substances_DID'!O47="R"),"",F47)))</f>
        <v/>
      </c>
      <c r="I47" s="331" t="str">
        <f>IF(B47="","",IF(OR('Ingoing Substances'!O47="N",'Ingoing substances_DID'!Q47="Y"),"",F47))</f>
        <v/>
      </c>
      <c r="J47" s="385" t="str">
        <f>IF('Ingoing Substances'!U47="","",'Ingoing Substances'!U47*F47/100)</f>
        <v/>
      </c>
      <c r="K47" s="384" t="str">
        <f>IF(B47="","",C47*Product!$D$36/100)</f>
        <v/>
      </c>
      <c r="L47" s="330" t="str">
        <f>IF(B47="","",K47*'Ingoing substances_DID'!M47/'Ingoing substances_DID'!N47*1000)</f>
        <v/>
      </c>
      <c r="M47" s="332" t="str">
        <f>IF(B47="","",(IF(OR('Ingoing Substances'!O47="N",'Ingoing substances_DID'!O47="R"),"",K47)))</f>
        <v/>
      </c>
      <c r="N47" s="332" t="str">
        <f>IF(B47="","",IF(OR('Ingoing Substances'!O47="N",'Ingoing substances_DID'!Q47="Y"),"",K47))</f>
        <v/>
      </c>
      <c r="O47" s="385" t="str">
        <f>IF('Ingoing Substances'!U47="","",'Ingoing Substances'!U47*K47/100)</f>
        <v/>
      </c>
      <c r="P47" s="384" t="str">
        <f>IF(B47="","",C47*Product!$E$36/100)</f>
        <v/>
      </c>
      <c r="Q47" s="330" t="str">
        <f>IF(B47="","",P47*'Ingoing substances_DID'!M47/'Ingoing substances_DID'!N47*1000)</f>
        <v/>
      </c>
      <c r="R47" s="332" t="str">
        <f>IF(B47="","",(IF(OR('Ingoing Substances'!O47="N",'Ingoing substances_DID'!O47="R"),"",P47)))</f>
        <v/>
      </c>
      <c r="S47" s="332" t="str">
        <f>IF(B47="","",IF(OR('Ingoing Substances'!O47="N",'Ingoing substances_DID'!Q47="Y"),"",P47))</f>
        <v/>
      </c>
      <c r="T47" s="385" t="str">
        <f>IF('Ingoing Substances'!U47="","",'Ingoing Substances'!U47*P47/100)</f>
        <v/>
      </c>
    </row>
    <row r="48" spans="1:20" x14ac:dyDescent="0.15">
      <c r="A48" s="37">
        <v>37</v>
      </c>
      <c r="B48" s="328" t="str">
        <f>IF('Ingoing substances_DID'!B48="","",'Ingoing substances_DID'!B48)</f>
        <v/>
      </c>
      <c r="C48" s="329" t="str">
        <f>IF('Ingoing substances_DID'!G48="","",'Ingoing substances_DID'!G48)</f>
        <v/>
      </c>
      <c r="D48" s="331" t="str">
        <f>IF(OR('Ingoing Substances'!Q48="N",'Ingoing substances_DID'!O48="R"),"",C48)</f>
        <v/>
      </c>
      <c r="E48" s="376" t="str">
        <f>IF(OR('Ingoing Substances'!T48="N",'Ingoing substances_DID'!P48="Y"),"",C48)</f>
        <v/>
      </c>
      <c r="F48" s="384" t="str">
        <f>IF(B48="","",C48*Product!$C$36/100)</f>
        <v/>
      </c>
      <c r="G48" s="330" t="str">
        <f>IF(B48="","",F48*'Ingoing substances_DID'!M48/'Ingoing substances_DID'!N48*1000)</f>
        <v/>
      </c>
      <c r="H48" s="331" t="str">
        <f>IF(B48="","",(IF(OR('Ingoing Substances'!O48="N",'Ingoing substances_DID'!O48="R"),"",F48)))</f>
        <v/>
      </c>
      <c r="I48" s="331" t="str">
        <f>IF(B48="","",IF(OR('Ingoing Substances'!O48="N",'Ingoing substances_DID'!Q48="Y"),"",F48))</f>
        <v/>
      </c>
      <c r="J48" s="385" t="str">
        <f>IF('Ingoing Substances'!U48="","",'Ingoing Substances'!U48*F48/100)</f>
        <v/>
      </c>
      <c r="K48" s="384" t="str">
        <f>IF(B48="","",C48*Product!$D$36/100)</f>
        <v/>
      </c>
      <c r="L48" s="330" t="str">
        <f>IF(B48="","",K48*'Ingoing substances_DID'!M48/'Ingoing substances_DID'!N48*1000)</f>
        <v/>
      </c>
      <c r="M48" s="332" t="str">
        <f>IF(B48="","",(IF(OR('Ingoing Substances'!O48="N",'Ingoing substances_DID'!O48="R"),"",K48)))</f>
        <v/>
      </c>
      <c r="N48" s="332" t="str">
        <f>IF(B48="","",IF(OR('Ingoing Substances'!O48="N",'Ingoing substances_DID'!Q48="Y"),"",K48))</f>
        <v/>
      </c>
      <c r="O48" s="385" t="str">
        <f>IF('Ingoing Substances'!U48="","",'Ingoing Substances'!U48*K48/100)</f>
        <v/>
      </c>
      <c r="P48" s="384" t="str">
        <f>IF(B48="","",C48*Product!$E$36/100)</f>
        <v/>
      </c>
      <c r="Q48" s="330" t="str">
        <f>IF(B48="","",P48*'Ingoing substances_DID'!M48/'Ingoing substances_DID'!N48*1000)</f>
        <v/>
      </c>
      <c r="R48" s="332" t="str">
        <f>IF(B48="","",(IF(OR('Ingoing Substances'!O48="N",'Ingoing substances_DID'!O48="R"),"",P48)))</f>
        <v/>
      </c>
      <c r="S48" s="332" t="str">
        <f>IF(B48="","",IF(OR('Ingoing Substances'!O48="N",'Ingoing substances_DID'!Q48="Y"),"",P48))</f>
        <v/>
      </c>
      <c r="T48" s="385" t="str">
        <f>IF('Ingoing Substances'!U48="","",'Ingoing Substances'!U48*P48/100)</f>
        <v/>
      </c>
    </row>
    <row r="49" spans="1:20" x14ac:dyDescent="0.15">
      <c r="A49" s="37">
        <v>38</v>
      </c>
      <c r="B49" s="328" t="str">
        <f>IF('Ingoing substances_DID'!B49="","",'Ingoing substances_DID'!B49)</f>
        <v/>
      </c>
      <c r="C49" s="329" t="str">
        <f>IF('Ingoing substances_DID'!G49="","",'Ingoing substances_DID'!G49)</f>
        <v/>
      </c>
      <c r="D49" s="331" t="str">
        <f>IF(OR('Ingoing Substances'!Q49="N",'Ingoing substances_DID'!O49="R"),"",C49)</f>
        <v/>
      </c>
      <c r="E49" s="376" t="str">
        <f>IF(OR('Ingoing Substances'!T49="N",'Ingoing substances_DID'!P49="Y"),"",C49)</f>
        <v/>
      </c>
      <c r="F49" s="384" t="str">
        <f>IF(B49="","",C49*Product!$C$36/100)</f>
        <v/>
      </c>
      <c r="G49" s="330" t="str">
        <f>IF(B49="","",F49*'Ingoing substances_DID'!M49/'Ingoing substances_DID'!N49*1000)</f>
        <v/>
      </c>
      <c r="H49" s="331" t="str">
        <f>IF(B49="","",(IF(OR('Ingoing Substances'!O49="N",'Ingoing substances_DID'!O49="R"),"",F49)))</f>
        <v/>
      </c>
      <c r="I49" s="331" t="str">
        <f>IF(B49="","",IF(OR('Ingoing Substances'!O49="N",'Ingoing substances_DID'!Q49="Y"),"",F49))</f>
        <v/>
      </c>
      <c r="J49" s="385" t="str">
        <f>IF('Ingoing Substances'!U49="","",'Ingoing Substances'!U49*F49/100)</f>
        <v/>
      </c>
      <c r="K49" s="384" t="str">
        <f>IF(B49="","",C49*Product!$D$36/100)</f>
        <v/>
      </c>
      <c r="L49" s="330" t="str">
        <f>IF(B49="","",K49*'Ingoing substances_DID'!M49/'Ingoing substances_DID'!N49*1000)</f>
        <v/>
      </c>
      <c r="M49" s="332" t="str">
        <f>IF(B49="","",(IF(OR('Ingoing Substances'!O49="N",'Ingoing substances_DID'!O49="R"),"",K49)))</f>
        <v/>
      </c>
      <c r="N49" s="332" t="str">
        <f>IF(B49="","",IF(OR('Ingoing Substances'!O49="N",'Ingoing substances_DID'!Q49="Y"),"",K49))</f>
        <v/>
      </c>
      <c r="O49" s="385" t="str">
        <f>IF('Ingoing Substances'!U49="","",'Ingoing Substances'!U49*K49/100)</f>
        <v/>
      </c>
      <c r="P49" s="384" t="str">
        <f>IF(B49="","",C49*Product!$E$36/100)</f>
        <v/>
      </c>
      <c r="Q49" s="330" t="str">
        <f>IF(B49="","",P49*'Ingoing substances_DID'!M49/'Ingoing substances_DID'!N49*1000)</f>
        <v/>
      </c>
      <c r="R49" s="332" t="str">
        <f>IF(B49="","",(IF(OR('Ingoing Substances'!O49="N",'Ingoing substances_DID'!O49="R"),"",P49)))</f>
        <v/>
      </c>
      <c r="S49" s="332" t="str">
        <f>IF(B49="","",IF(OR('Ingoing Substances'!O49="N",'Ingoing substances_DID'!Q49="Y"),"",P49))</f>
        <v/>
      </c>
      <c r="T49" s="385" t="str">
        <f>IF('Ingoing Substances'!U49="","",'Ingoing Substances'!U49*P49/100)</f>
        <v/>
      </c>
    </row>
    <row r="50" spans="1:20" x14ac:dyDescent="0.15">
      <c r="A50" s="37">
        <v>39</v>
      </c>
      <c r="B50" s="328" t="str">
        <f>IF('Ingoing substances_DID'!B50="","",'Ingoing substances_DID'!B50)</f>
        <v/>
      </c>
      <c r="C50" s="329" t="str">
        <f>IF('Ingoing substances_DID'!G50="","",'Ingoing substances_DID'!G50)</f>
        <v/>
      </c>
      <c r="D50" s="331" t="str">
        <f>IF(OR('Ingoing Substances'!Q50="N",'Ingoing substances_DID'!O50="R"),"",C50)</f>
        <v/>
      </c>
      <c r="E50" s="376" t="str">
        <f>IF(OR('Ingoing Substances'!T50="N",'Ingoing substances_DID'!P50="Y"),"",C50)</f>
        <v/>
      </c>
      <c r="F50" s="384" t="str">
        <f>IF(B50="","",C50*Product!$C$36/100)</f>
        <v/>
      </c>
      <c r="G50" s="330" t="str">
        <f>IF(B50="","",F50*'Ingoing substances_DID'!M50/'Ingoing substances_DID'!N50*1000)</f>
        <v/>
      </c>
      <c r="H50" s="331" t="str">
        <f>IF(B50="","",(IF(OR('Ingoing Substances'!O50="N",'Ingoing substances_DID'!O50="R"),"",F50)))</f>
        <v/>
      </c>
      <c r="I50" s="331" t="str">
        <f>IF(B50="","",IF(OR('Ingoing Substances'!O50="N",'Ingoing substances_DID'!Q50="Y"),"",F50))</f>
        <v/>
      </c>
      <c r="J50" s="385" t="str">
        <f>IF('Ingoing Substances'!U50="","",'Ingoing Substances'!U50*F50/100)</f>
        <v/>
      </c>
      <c r="K50" s="384" t="str">
        <f>IF(B50="","",C50*Product!$D$36/100)</f>
        <v/>
      </c>
      <c r="L50" s="330" t="str">
        <f>IF(B50="","",K50*'Ingoing substances_DID'!M50/'Ingoing substances_DID'!N50*1000)</f>
        <v/>
      </c>
      <c r="M50" s="332" t="str">
        <f>IF(B50="","",(IF(OR('Ingoing Substances'!O50="N",'Ingoing substances_DID'!O50="R"),"",K50)))</f>
        <v/>
      </c>
      <c r="N50" s="332" t="str">
        <f>IF(B50="","",IF(OR('Ingoing Substances'!O50="N",'Ingoing substances_DID'!Q50="Y"),"",K50))</f>
        <v/>
      </c>
      <c r="O50" s="385" t="str">
        <f>IF('Ingoing Substances'!U50="","",'Ingoing Substances'!U50*K50/100)</f>
        <v/>
      </c>
      <c r="P50" s="384" t="str">
        <f>IF(B50="","",C50*Product!$E$36/100)</f>
        <v/>
      </c>
      <c r="Q50" s="330" t="str">
        <f>IF(B50="","",P50*'Ingoing substances_DID'!M50/'Ingoing substances_DID'!N50*1000)</f>
        <v/>
      </c>
      <c r="R50" s="332" t="str">
        <f>IF(B50="","",(IF(OR('Ingoing Substances'!O50="N",'Ingoing substances_DID'!O50="R"),"",P50)))</f>
        <v/>
      </c>
      <c r="S50" s="332" t="str">
        <f>IF(B50="","",IF(OR('Ingoing Substances'!O50="N",'Ingoing substances_DID'!Q50="Y"),"",P50))</f>
        <v/>
      </c>
      <c r="T50" s="385" t="str">
        <f>IF('Ingoing Substances'!U50="","",'Ingoing Substances'!U50*P50/100)</f>
        <v/>
      </c>
    </row>
    <row r="51" spans="1:20" x14ac:dyDescent="0.15">
      <c r="A51" s="37">
        <v>40</v>
      </c>
      <c r="B51" s="328" t="str">
        <f>IF('Ingoing substances_DID'!B51="","",'Ingoing substances_DID'!B51)</f>
        <v/>
      </c>
      <c r="C51" s="329" t="str">
        <f>IF('Ingoing substances_DID'!G51="","",'Ingoing substances_DID'!G51)</f>
        <v/>
      </c>
      <c r="D51" s="331" t="str">
        <f>IF(OR('Ingoing Substances'!Q51="N",'Ingoing substances_DID'!O51="R"),"",C51)</f>
        <v/>
      </c>
      <c r="E51" s="376" t="str">
        <f>IF(OR('Ingoing Substances'!T51="N",'Ingoing substances_DID'!P51="Y"),"",C51)</f>
        <v/>
      </c>
      <c r="F51" s="384" t="str">
        <f>IF(B51="","",C51*Product!$C$36/100)</f>
        <v/>
      </c>
      <c r="G51" s="330" t="str">
        <f>IF(B51="","",F51*'Ingoing substances_DID'!M51/'Ingoing substances_DID'!N51*1000)</f>
        <v/>
      </c>
      <c r="H51" s="331" t="str">
        <f>IF(B51="","",(IF(OR('Ingoing Substances'!O51="N",'Ingoing substances_DID'!O51="R"),"",F51)))</f>
        <v/>
      </c>
      <c r="I51" s="331" t="str">
        <f>IF(B51="","",IF(OR('Ingoing Substances'!O51="N",'Ingoing substances_DID'!Q51="Y"),"",F51))</f>
        <v/>
      </c>
      <c r="J51" s="385" t="str">
        <f>IF('Ingoing Substances'!U51="","",'Ingoing Substances'!U51*F51/100)</f>
        <v/>
      </c>
      <c r="K51" s="384" t="str">
        <f>IF(B51="","",C51*Product!$D$36/100)</f>
        <v/>
      </c>
      <c r="L51" s="330" t="str">
        <f>IF(B51="","",K51*'Ingoing substances_DID'!M51/'Ingoing substances_DID'!N51*1000)</f>
        <v/>
      </c>
      <c r="M51" s="332" t="str">
        <f>IF(B51="","",(IF(OR('Ingoing Substances'!O51="N",'Ingoing substances_DID'!O51="R"),"",K51)))</f>
        <v/>
      </c>
      <c r="N51" s="332" t="str">
        <f>IF(B51="","",IF(OR('Ingoing Substances'!O51="N",'Ingoing substances_DID'!Q51="Y"),"",K51))</f>
        <v/>
      </c>
      <c r="O51" s="385" t="str">
        <f>IF('Ingoing Substances'!U51="","",'Ingoing Substances'!U51*K51/100)</f>
        <v/>
      </c>
      <c r="P51" s="384" t="str">
        <f>IF(B51="","",C51*Product!$E$36/100)</f>
        <v/>
      </c>
      <c r="Q51" s="330" t="str">
        <f>IF(B51="","",P51*'Ingoing substances_DID'!M51/'Ingoing substances_DID'!N51*1000)</f>
        <v/>
      </c>
      <c r="R51" s="332" t="str">
        <f>IF(B51="","",(IF(OR('Ingoing Substances'!O51="N",'Ingoing substances_DID'!O51="R"),"",P51)))</f>
        <v/>
      </c>
      <c r="S51" s="332" t="str">
        <f>IF(B51="","",IF(OR('Ingoing Substances'!O51="N",'Ingoing substances_DID'!Q51="Y"),"",P51))</f>
        <v/>
      </c>
      <c r="T51" s="385" t="str">
        <f>IF('Ingoing Substances'!U51="","",'Ingoing Substances'!U51*P51/100)</f>
        <v/>
      </c>
    </row>
    <row r="52" spans="1:20" x14ac:dyDescent="0.15">
      <c r="A52" s="37">
        <v>41</v>
      </c>
      <c r="B52" s="328" t="str">
        <f>IF('Ingoing substances_DID'!B52="","",'Ingoing substances_DID'!B52)</f>
        <v/>
      </c>
      <c r="C52" s="329" t="str">
        <f>IF('Ingoing substances_DID'!G52="","",'Ingoing substances_DID'!G52)</f>
        <v/>
      </c>
      <c r="D52" s="331" t="str">
        <f>IF(OR('Ingoing Substances'!Q52="N",'Ingoing substances_DID'!O52="R"),"",C52)</f>
        <v/>
      </c>
      <c r="E52" s="376" t="str">
        <f>IF(OR('Ingoing Substances'!T52="N",'Ingoing substances_DID'!P52="Y"),"",C52)</f>
        <v/>
      </c>
      <c r="F52" s="384" t="str">
        <f>IF(B52="","",C52*Product!$C$36/100)</f>
        <v/>
      </c>
      <c r="G52" s="330" t="str">
        <f>IF(B52="","",F52*'Ingoing substances_DID'!M52/'Ingoing substances_DID'!N52*1000)</f>
        <v/>
      </c>
      <c r="H52" s="331" t="str">
        <f>IF(B52="","",(IF(OR('Ingoing Substances'!O52="N",'Ingoing substances_DID'!O52="R"),"",F52)))</f>
        <v/>
      </c>
      <c r="I52" s="331" t="str">
        <f>IF(B52="","",IF(OR('Ingoing Substances'!O52="N",'Ingoing substances_DID'!Q52="Y"),"",F52))</f>
        <v/>
      </c>
      <c r="J52" s="385" t="str">
        <f>IF('Ingoing Substances'!U52="","",'Ingoing Substances'!U52*F52/100)</f>
        <v/>
      </c>
      <c r="K52" s="384" t="str">
        <f>IF(B52="","",C52*Product!$D$36/100)</f>
        <v/>
      </c>
      <c r="L52" s="330" t="str">
        <f>IF(B52="","",K52*'Ingoing substances_DID'!M52/'Ingoing substances_DID'!N52*1000)</f>
        <v/>
      </c>
      <c r="M52" s="332" t="str">
        <f>IF(B52="","",(IF(OR('Ingoing Substances'!O52="N",'Ingoing substances_DID'!O52="R"),"",K52)))</f>
        <v/>
      </c>
      <c r="N52" s="332" t="str">
        <f>IF(B52="","",IF(OR('Ingoing Substances'!O52="N",'Ingoing substances_DID'!Q52="Y"),"",K52))</f>
        <v/>
      </c>
      <c r="O52" s="385" t="str">
        <f>IF('Ingoing Substances'!U52="","",'Ingoing Substances'!U52*K52/100)</f>
        <v/>
      </c>
      <c r="P52" s="384" t="str">
        <f>IF(B52="","",C52*Product!$E$36/100)</f>
        <v/>
      </c>
      <c r="Q52" s="330" t="str">
        <f>IF(B52="","",P52*'Ingoing substances_DID'!M52/'Ingoing substances_DID'!N52*1000)</f>
        <v/>
      </c>
      <c r="R52" s="332" t="str">
        <f>IF(B52="","",(IF(OR('Ingoing Substances'!O52="N",'Ingoing substances_DID'!O52="R"),"",P52)))</f>
        <v/>
      </c>
      <c r="S52" s="332" t="str">
        <f>IF(B52="","",IF(OR('Ingoing Substances'!O52="N",'Ingoing substances_DID'!Q52="Y"),"",P52))</f>
        <v/>
      </c>
      <c r="T52" s="385" t="str">
        <f>IF('Ingoing Substances'!U52="","",'Ingoing Substances'!U52*P52/100)</f>
        <v/>
      </c>
    </row>
    <row r="53" spans="1:20" x14ac:dyDescent="0.15">
      <c r="A53" s="37">
        <v>42</v>
      </c>
      <c r="B53" s="328" t="str">
        <f>IF('Ingoing substances_DID'!B53="","",'Ingoing substances_DID'!B53)</f>
        <v/>
      </c>
      <c r="C53" s="329" t="str">
        <f>IF('Ingoing substances_DID'!G53="","",'Ingoing substances_DID'!G53)</f>
        <v/>
      </c>
      <c r="D53" s="331" t="str">
        <f>IF(OR('Ingoing Substances'!Q53="N",'Ingoing substances_DID'!O53="R"),"",C53)</f>
        <v/>
      </c>
      <c r="E53" s="376" t="str">
        <f>IF(OR('Ingoing Substances'!T53="N",'Ingoing substances_DID'!P53="Y"),"",C53)</f>
        <v/>
      </c>
      <c r="F53" s="384" t="str">
        <f>IF(B53="","",C53*Product!$C$36/100)</f>
        <v/>
      </c>
      <c r="G53" s="330" t="str">
        <f>IF(B53="","",F53*'Ingoing substances_DID'!M53/'Ingoing substances_DID'!N53*1000)</f>
        <v/>
      </c>
      <c r="H53" s="331" t="str">
        <f>IF(B53="","",(IF(OR('Ingoing Substances'!O53="N",'Ingoing substances_DID'!O53="R"),"",F53)))</f>
        <v/>
      </c>
      <c r="I53" s="331" t="str">
        <f>IF(B53="","",IF(OR('Ingoing Substances'!O53="N",'Ingoing substances_DID'!Q53="Y"),"",F53))</f>
        <v/>
      </c>
      <c r="J53" s="385" t="str">
        <f>IF('Ingoing Substances'!U53="","",'Ingoing Substances'!U53*F53/100)</f>
        <v/>
      </c>
      <c r="K53" s="384" t="str">
        <f>IF(B53="","",C53*Product!$D$36/100)</f>
        <v/>
      </c>
      <c r="L53" s="330" t="str">
        <f>IF(B53="","",K53*'Ingoing substances_DID'!M53/'Ingoing substances_DID'!N53*1000)</f>
        <v/>
      </c>
      <c r="M53" s="332" t="str">
        <f>IF(B53="","",(IF(OR('Ingoing Substances'!O53="N",'Ingoing substances_DID'!O53="R"),"",K53)))</f>
        <v/>
      </c>
      <c r="N53" s="332" t="str">
        <f>IF(B53="","",IF(OR('Ingoing Substances'!O53="N",'Ingoing substances_DID'!Q53="Y"),"",K53))</f>
        <v/>
      </c>
      <c r="O53" s="385" t="str">
        <f>IF('Ingoing Substances'!U53="","",'Ingoing Substances'!U53*K53/100)</f>
        <v/>
      </c>
      <c r="P53" s="384" t="str">
        <f>IF(B53="","",C53*Product!$E$36/100)</f>
        <v/>
      </c>
      <c r="Q53" s="330" t="str">
        <f>IF(B53="","",P53*'Ingoing substances_DID'!M53/'Ingoing substances_DID'!N53*1000)</f>
        <v/>
      </c>
      <c r="R53" s="332" t="str">
        <f>IF(B53="","",(IF(OR('Ingoing Substances'!O53="N",'Ingoing substances_DID'!O53="R"),"",P53)))</f>
        <v/>
      </c>
      <c r="S53" s="332" t="str">
        <f>IF(B53="","",IF(OR('Ingoing Substances'!O53="N",'Ingoing substances_DID'!Q53="Y"),"",P53))</f>
        <v/>
      </c>
      <c r="T53" s="385" t="str">
        <f>IF('Ingoing Substances'!U53="","",'Ingoing Substances'!U53*P53/100)</f>
        <v/>
      </c>
    </row>
    <row r="54" spans="1:20" x14ac:dyDescent="0.15">
      <c r="A54" s="37">
        <v>43</v>
      </c>
      <c r="B54" s="328" t="str">
        <f>IF('Ingoing substances_DID'!B54="","",'Ingoing substances_DID'!B54)</f>
        <v/>
      </c>
      <c r="C54" s="329" t="str">
        <f>IF('Ingoing substances_DID'!G54="","",'Ingoing substances_DID'!G54)</f>
        <v/>
      </c>
      <c r="D54" s="331" t="str">
        <f>IF(OR('Ingoing Substances'!Q54="N",'Ingoing substances_DID'!O54="R"),"",C54)</f>
        <v/>
      </c>
      <c r="E54" s="376" t="str">
        <f>IF(OR('Ingoing Substances'!T54="N",'Ingoing substances_DID'!P54="Y"),"",C54)</f>
        <v/>
      </c>
      <c r="F54" s="384" t="str">
        <f>IF(B54="","",C54*Product!$C$36/100)</f>
        <v/>
      </c>
      <c r="G54" s="330" t="str">
        <f>IF(B54="","",F54*'Ingoing substances_DID'!M54/'Ingoing substances_DID'!N54*1000)</f>
        <v/>
      </c>
      <c r="H54" s="331" t="str">
        <f>IF(B54="","",(IF(OR('Ingoing Substances'!O54="N",'Ingoing substances_DID'!O54="R"),"",F54)))</f>
        <v/>
      </c>
      <c r="I54" s="331" t="str">
        <f>IF(B54="","",IF(OR('Ingoing Substances'!O54="N",'Ingoing substances_DID'!Q54="Y"),"",F54))</f>
        <v/>
      </c>
      <c r="J54" s="385" t="str">
        <f>IF('Ingoing Substances'!U54="","",'Ingoing Substances'!U54*F54/100)</f>
        <v/>
      </c>
      <c r="K54" s="384" t="str">
        <f>IF(B54="","",C54*Product!$D$36/100)</f>
        <v/>
      </c>
      <c r="L54" s="330" t="str">
        <f>IF(B54="","",K54*'Ingoing substances_DID'!M54/'Ingoing substances_DID'!N54*1000)</f>
        <v/>
      </c>
      <c r="M54" s="332" t="str">
        <f>IF(B54="","",(IF(OR('Ingoing Substances'!O54="N",'Ingoing substances_DID'!O54="R"),"",K54)))</f>
        <v/>
      </c>
      <c r="N54" s="332" t="str">
        <f>IF(B54="","",IF(OR('Ingoing Substances'!O54="N",'Ingoing substances_DID'!Q54="Y"),"",K54))</f>
        <v/>
      </c>
      <c r="O54" s="385" t="str">
        <f>IF('Ingoing Substances'!U54="","",'Ingoing Substances'!U54*K54/100)</f>
        <v/>
      </c>
      <c r="P54" s="384" t="str">
        <f>IF(B54="","",C54*Product!$E$36/100)</f>
        <v/>
      </c>
      <c r="Q54" s="330" t="str">
        <f>IF(B54="","",P54*'Ingoing substances_DID'!M54/'Ingoing substances_DID'!N54*1000)</f>
        <v/>
      </c>
      <c r="R54" s="332" t="str">
        <f>IF(B54="","",(IF(OR('Ingoing Substances'!O54="N",'Ingoing substances_DID'!O54="R"),"",P54)))</f>
        <v/>
      </c>
      <c r="S54" s="332" t="str">
        <f>IF(B54="","",IF(OR('Ingoing Substances'!O54="N",'Ingoing substances_DID'!Q54="Y"),"",P54))</f>
        <v/>
      </c>
      <c r="T54" s="385" t="str">
        <f>IF('Ingoing Substances'!U54="","",'Ingoing Substances'!U54*P54/100)</f>
        <v/>
      </c>
    </row>
    <row r="55" spans="1:20" x14ac:dyDescent="0.15">
      <c r="A55" s="37">
        <v>44</v>
      </c>
      <c r="B55" s="328" t="str">
        <f>IF('Ingoing substances_DID'!B55="","",'Ingoing substances_DID'!B55)</f>
        <v/>
      </c>
      <c r="C55" s="329" t="str">
        <f>IF('Ingoing substances_DID'!G55="","",'Ingoing substances_DID'!G55)</f>
        <v/>
      </c>
      <c r="D55" s="331" t="str">
        <f>IF(OR('Ingoing Substances'!Q55="N",'Ingoing substances_DID'!O55="R"),"",C55)</f>
        <v/>
      </c>
      <c r="E55" s="376" t="str">
        <f>IF(OR('Ingoing Substances'!T55="N",'Ingoing substances_DID'!P55="Y"),"",C55)</f>
        <v/>
      </c>
      <c r="F55" s="384" t="str">
        <f>IF(B55="","",C55*Product!$C$36/100)</f>
        <v/>
      </c>
      <c r="G55" s="330" t="str">
        <f>IF(B55="","",F55*'Ingoing substances_DID'!M55/'Ingoing substances_DID'!N55*1000)</f>
        <v/>
      </c>
      <c r="H55" s="331" t="str">
        <f>IF(B55="","",(IF(OR('Ingoing Substances'!O55="N",'Ingoing substances_DID'!O55="R"),"",F55)))</f>
        <v/>
      </c>
      <c r="I55" s="331" t="str">
        <f>IF(B55="","",IF(OR('Ingoing Substances'!O55="N",'Ingoing substances_DID'!Q55="Y"),"",F55))</f>
        <v/>
      </c>
      <c r="J55" s="385" t="str">
        <f>IF('Ingoing Substances'!U55="","",'Ingoing Substances'!U55*F55/100)</f>
        <v/>
      </c>
      <c r="K55" s="384" t="str">
        <f>IF(B55="","",C55*Product!$D$36/100)</f>
        <v/>
      </c>
      <c r="L55" s="330" t="str">
        <f>IF(B55="","",K55*'Ingoing substances_DID'!M55/'Ingoing substances_DID'!N55*1000)</f>
        <v/>
      </c>
      <c r="M55" s="332" t="str">
        <f>IF(B55="","",(IF(OR('Ingoing Substances'!O55="N",'Ingoing substances_DID'!O55="R"),"",K55)))</f>
        <v/>
      </c>
      <c r="N55" s="332" t="str">
        <f>IF(B55="","",IF(OR('Ingoing Substances'!O55="N",'Ingoing substances_DID'!Q55="Y"),"",K55))</f>
        <v/>
      </c>
      <c r="O55" s="385" t="str">
        <f>IF('Ingoing Substances'!U55="","",'Ingoing Substances'!U55*K55/100)</f>
        <v/>
      </c>
      <c r="P55" s="384" t="str">
        <f>IF(B55="","",C55*Product!$E$36/100)</f>
        <v/>
      </c>
      <c r="Q55" s="330" t="str">
        <f>IF(B55="","",P55*'Ingoing substances_DID'!M55/'Ingoing substances_DID'!N55*1000)</f>
        <v/>
      </c>
      <c r="R55" s="332" t="str">
        <f>IF(B55="","",(IF(OR('Ingoing Substances'!O55="N",'Ingoing substances_DID'!O55="R"),"",P55)))</f>
        <v/>
      </c>
      <c r="S55" s="332" t="str">
        <f>IF(B55="","",IF(OR('Ingoing Substances'!O55="N",'Ingoing substances_DID'!Q55="Y"),"",P55))</f>
        <v/>
      </c>
      <c r="T55" s="385" t="str">
        <f>IF('Ingoing Substances'!U55="","",'Ingoing Substances'!U55*P55/100)</f>
        <v/>
      </c>
    </row>
    <row r="56" spans="1:20" x14ac:dyDescent="0.15">
      <c r="A56" s="37">
        <v>45</v>
      </c>
      <c r="B56" s="328" t="str">
        <f>IF('Ingoing substances_DID'!B56="","",'Ingoing substances_DID'!B56)</f>
        <v/>
      </c>
      <c r="C56" s="329" t="str">
        <f>IF('Ingoing substances_DID'!G56="","",'Ingoing substances_DID'!G56)</f>
        <v/>
      </c>
      <c r="D56" s="331" t="str">
        <f>IF(OR('Ingoing Substances'!Q56="N",'Ingoing substances_DID'!O56="R"),"",C56)</f>
        <v/>
      </c>
      <c r="E56" s="376" t="str">
        <f>IF(OR('Ingoing Substances'!T56="N",'Ingoing substances_DID'!P56="Y"),"",C56)</f>
        <v/>
      </c>
      <c r="F56" s="384" t="str">
        <f>IF(B56="","",C56*Product!$C$36/100)</f>
        <v/>
      </c>
      <c r="G56" s="330" t="str">
        <f>IF(B56="","",F56*'Ingoing substances_DID'!M56/'Ingoing substances_DID'!N56*1000)</f>
        <v/>
      </c>
      <c r="H56" s="331" t="str">
        <f>IF(B56="","",(IF(OR('Ingoing Substances'!O56="N",'Ingoing substances_DID'!O56="R"),"",F56)))</f>
        <v/>
      </c>
      <c r="I56" s="331" t="str">
        <f>IF(B56="","",IF(OR('Ingoing Substances'!O56="N",'Ingoing substances_DID'!Q56="Y"),"",F56))</f>
        <v/>
      </c>
      <c r="J56" s="385" t="str">
        <f>IF('Ingoing Substances'!U56="","",'Ingoing Substances'!U56*F56/100)</f>
        <v/>
      </c>
      <c r="K56" s="384" t="str">
        <f>IF(B56="","",C56*Product!$D$36/100)</f>
        <v/>
      </c>
      <c r="L56" s="330" t="str">
        <f>IF(B56="","",K56*'Ingoing substances_DID'!M56/'Ingoing substances_DID'!N56*1000)</f>
        <v/>
      </c>
      <c r="M56" s="332" t="str">
        <f>IF(B56="","",(IF(OR('Ingoing Substances'!O56="N",'Ingoing substances_DID'!O56="R"),"",K56)))</f>
        <v/>
      </c>
      <c r="N56" s="332" t="str">
        <f>IF(B56="","",IF(OR('Ingoing Substances'!O56="N",'Ingoing substances_DID'!Q56="Y"),"",K56))</f>
        <v/>
      </c>
      <c r="O56" s="385" t="str">
        <f>IF('Ingoing Substances'!U56="","",'Ingoing Substances'!U56*K56/100)</f>
        <v/>
      </c>
      <c r="P56" s="384" t="str">
        <f>IF(B56="","",C56*Product!$E$36/100)</f>
        <v/>
      </c>
      <c r="Q56" s="330" t="str">
        <f>IF(B56="","",P56*'Ingoing substances_DID'!M56/'Ingoing substances_DID'!N56*1000)</f>
        <v/>
      </c>
      <c r="R56" s="332" t="str">
        <f>IF(B56="","",(IF(OR('Ingoing Substances'!O56="N",'Ingoing substances_DID'!O56="R"),"",P56)))</f>
        <v/>
      </c>
      <c r="S56" s="332" t="str">
        <f>IF(B56="","",IF(OR('Ingoing Substances'!O56="N",'Ingoing substances_DID'!Q56="Y"),"",P56))</f>
        <v/>
      </c>
      <c r="T56" s="385" t="str">
        <f>IF('Ingoing Substances'!U56="","",'Ingoing Substances'!U56*P56/100)</f>
        <v/>
      </c>
    </row>
    <row r="57" spans="1:20" x14ac:dyDescent="0.15">
      <c r="A57" s="37">
        <v>46</v>
      </c>
      <c r="B57" s="328" t="str">
        <f>IF('Ingoing substances_DID'!B57="","",'Ingoing substances_DID'!B57)</f>
        <v/>
      </c>
      <c r="C57" s="329" t="str">
        <f>IF('Ingoing substances_DID'!G57="","",'Ingoing substances_DID'!G57)</f>
        <v/>
      </c>
      <c r="D57" s="331" t="str">
        <f>IF(OR('Ingoing Substances'!Q57="N",'Ingoing substances_DID'!O57="R"),"",C57)</f>
        <v/>
      </c>
      <c r="E57" s="376" t="str">
        <f>IF(OR('Ingoing Substances'!T57="N",'Ingoing substances_DID'!P57="Y"),"",C57)</f>
        <v/>
      </c>
      <c r="F57" s="384" t="str">
        <f>IF(B57="","",C57*Product!$C$36/100)</f>
        <v/>
      </c>
      <c r="G57" s="330" t="str">
        <f>IF(B57="","",F57*'Ingoing substances_DID'!M57/'Ingoing substances_DID'!N57*1000)</f>
        <v/>
      </c>
      <c r="H57" s="331" t="str">
        <f>IF(B57="","",(IF(OR('Ingoing Substances'!O57="N",'Ingoing substances_DID'!O57="R"),"",F57)))</f>
        <v/>
      </c>
      <c r="I57" s="331" t="str">
        <f>IF(B57="","",IF(OR('Ingoing Substances'!O57="N",'Ingoing substances_DID'!Q57="Y"),"",F57))</f>
        <v/>
      </c>
      <c r="J57" s="385" t="str">
        <f>IF('Ingoing Substances'!U57="","",'Ingoing Substances'!U57*F57/100)</f>
        <v/>
      </c>
      <c r="K57" s="384" t="str">
        <f>IF(B57="","",C57*Product!$D$36/100)</f>
        <v/>
      </c>
      <c r="L57" s="330" t="str">
        <f>IF(B57="","",K57*'Ingoing substances_DID'!M57/'Ingoing substances_DID'!N57*1000)</f>
        <v/>
      </c>
      <c r="M57" s="332" t="str">
        <f>IF(B57="","",(IF(OR('Ingoing Substances'!O57="N",'Ingoing substances_DID'!O57="R"),"",K57)))</f>
        <v/>
      </c>
      <c r="N57" s="332" t="str">
        <f>IF(B57="","",IF(OR('Ingoing Substances'!O57="N",'Ingoing substances_DID'!Q57="Y"),"",K57))</f>
        <v/>
      </c>
      <c r="O57" s="385" t="str">
        <f>IF('Ingoing Substances'!U57="","",'Ingoing Substances'!U57*K57/100)</f>
        <v/>
      </c>
      <c r="P57" s="384" t="str">
        <f>IF(B57="","",C57*Product!$E$36/100)</f>
        <v/>
      </c>
      <c r="Q57" s="330" t="str">
        <f>IF(B57="","",P57*'Ingoing substances_DID'!M57/'Ingoing substances_DID'!N57*1000)</f>
        <v/>
      </c>
      <c r="R57" s="332" t="str">
        <f>IF(B57="","",(IF(OR('Ingoing Substances'!O57="N",'Ingoing substances_DID'!O57="R"),"",P57)))</f>
        <v/>
      </c>
      <c r="S57" s="332" t="str">
        <f>IF(B57="","",IF(OR('Ingoing Substances'!O57="N",'Ingoing substances_DID'!Q57="Y"),"",P57))</f>
        <v/>
      </c>
      <c r="T57" s="385" t="str">
        <f>IF('Ingoing Substances'!U57="","",'Ingoing Substances'!U57*P57/100)</f>
        <v/>
      </c>
    </row>
    <row r="58" spans="1:20" x14ac:dyDescent="0.15">
      <c r="A58" s="37">
        <v>47</v>
      </c>
      <c r="B58" s="328" t="str">
        <f>IF('Ingoing substances_DID'!B58="","",'Ingoing substances_DID'!B58)</f>
        <v/>
      </c>
      <c r="C58" s="329" t="str">
        <f>IF('Ingoing substances_DID'!G58="","",'Ingoing substances_DID'!G58)</f>
        <v/>
      </c>
      <c r="D58" s="331" t="str">
        <f>IF(OR('Ingoing Substances'!Q58="N",'Ingoing substances_DID'!O58="R"),"",C58)</f>
        <v/>
      </c>
      <c r="E58" s="376" t="str">
        <f>IF(OR('Ingoing Substances'!T58="N",'Ingoing substances_DID'!P58="Y"),"",C58)</f>
        <v/>
      </c>
      <c r="F58" s="384" t="str">
        <f>IF(B58="","",C58*Product!$C$36/100)</f>
        <v/>
      </c>
      <c r="G58" s="330" t="str">
        <f>IF(B58="","",F58*'Ingoing substances_DID'!M58/'Ingoing substances_DID'!N58*1000)</f>
        <v/>
      </c>
      <c r="H58" s="331" t="str">
        <f>IF(B58="","",(IF(OR('Ingoing Substances'!O58="N",'Ingoing substances_DID'!O58="R"),"",F58)))</f>
        <v/>
      </c>
      <c r="I58" s="331" t="str">
        <f>IF(B58="","",IF(OR('Ingoing Substances'!O58="N",'Ingoing substances_DID'!Q58="Y"),"",F58))</f>
        <v/>
      </c>
      <c r="J58" s="385" t="str">
        <f>IF('Ingoing Substances'!U58="","",'Ingoing Substances'!U58*F58/100)</f>
        <v/>
      </c>
      <c r="K58" s="384" t="str">
        <f>IF(B58="","",C58*Product!$D$36/100)</f>
        <v/>
      </c>
      <c r="L58" s="330" t="str">
        <f>IF(B58="","",K58*'Ingoing substances_DID'!M58/'Ingoing substances_DID'!N58*1000)</f>
        <v/>
      </c>
      <c r="M58" s="332" t="str">
        <f>IF(B58="","",(IF(OR('Ingoing Substances'!O58="N",'Ingoing substances_DID'!O58="R"),"",K58)))</f>
        <v/>
      </c>
      <c r="N58" s="332" t="str">
        <f>IF(B58="","",IF(OR('Ingoing Substances'!O58="N",'Ingoing substances_DID'!Q58="Y"),"",K58))</f>
        <v/>
      </c>
      <c r="O58" s="385" t="str">
        <f>IF('Ingoing Substances'!U58="","",'Ingoing Substances'!U58*K58/100)</f>
        <v/>
      </c>
      <c r="P58" s="384" t="str">
        <f>IF(B58="","",C58*Product!$E$36/100)</f>
        <v/>
      </c>
      <c r="Q58" s="330" t="str">
        <f>IF(B58="","",P58*'Ingoing substances_DID'!M58/'Ingoing substances_DID'!N58*1000)</f>
        <v/>
      </c>
      <c r="R58" s="332" t="str">
        <f>IF(B58="","",(IF(OR('Ingoing Substances'!O58="N",'Ingoing substances_DID'!O58="R"),"",P58)))</f>
        <v/>
      </c>
      <c r="S58" s="332" t="str">
        <f>IF(B58="","",IF(OR('Ingoing Substances'!O58="N",'Ingoing substances_DID'!Q58="Y"),"",P58))</f>
        <v/>
      </c>
      <c r="T58" s="385" t="str">
        <f>IF('Ingoing Substances'!U58="","",'Ingoing Substances'!U58*P58/100)</f>
        <v/>
      </c>
    </row>
    <row r="59" spans="1:20" x14ac:dyDescent="0.15">
      <c r="A59" s="37">
        <v>48</v>
      </c>
      <c r="B59" s="328" t="str">
        <f>IF('Ingoing substances_DID'!B59="","",'Ingoing substances_DID'!B59)</f>
        <v/>
      </c>
      <c r="C59" s="329" t="str">
        <f>IF('Ingoing substances_DID'!G59="","",'Ingoing substances_DID'!G59)</f>
        <v/>
      </c>
      <c r="D59" s="331" t="str">
        <f>IF(OR('Ingoing Substances'!Q59="N",'Ingoing substances_DID'!O59="R"),"",C59)</f>
        <v/>
      </c>
      <c r="E59" s="376" t="str">
        <f>IF(OR('Ingoing Substances'!T59="N",'Ingoing substances_DID'!P59="Y"),"",C59)</f>
        <v/>
      </c>
      <c r="F59" s="384" t="str">
        <f>IF(B59="","",C59*Product!$C$36/100)</f>
        <v/>
      </c>
      <c r="G59" s="330" t="str">
        <f>IF(B59="","",F59*'Ingoing substances_DID'!M59/'Ingoing substances_DID'!N59*1000)</f>
        <v/>
      </c>
      <c r="H59" s="331" t="str">
        <f>IF(B59="","",(IF(OR('Ingoing Substances'!O59="N",'Ingoing substances_DID'!O59="R"),"",F59)))</f>
        <v/>
      </c>
      <c r="I59" s="331" t="str">
        <f>IF(B59="","",IF(OR('Ingoing Substances'!O59="N",'Ingoing substances_DID'!Q59="Y"),"",F59))</f>
        <v/>
      </c>
      <c r="J59" s="385" t="str">
        <f>IF('Ingoing Substances'!U59="","",'Ingoing Substances'!U59*F59/100)</f>
        <v/>
      </c>
      <c r="K59" s="384" t="str">
        <f>IF(B59="","",C59*Product!$D$36/100)</f>
        <v/>
      </c>
      <c r="L59" s="330" t="str">
        <f>IF(B59="","",K59*'Ingoing substances_DID'!M59/'Ingoing substances_DID'!N59*1000)</f>
        <v/>
      </c>
      <c r="M59" s="332" t="str">
        <f>IF(B59="","",(IF(OR('Ingoing Substances'!O59="N",'Ingoing substances_DID'!O59="R"),"",K59)))</f>
        <v/>
      </c>
      <c r="N59" s="332" t="str">
        <f>IF(B59="","",IF(OR('Ingoing Substances'!O59="N",'Ingoing substances_DID'!Q59="Y"),"",K59))</f>
        <v/>
      </c>
      <c r="O59" s="385" t="str">
        <f>IF('Ingoing Substances'!U59="","",'Ingoing Substances'!U59*K59/100)</f>
        <v/>
      </c>
      <c r="P59" s="384" t="str">
        <f>IF(B59="","",C59*Product!$E$36/100)</f>
        <v/>
      </c>
      <c r="Q59" s="330" t="str">
        <f>IF(B59="","",P59*'Ingoing substances_DID'!M59/'Ingoing substances_DID'!N59*1000)</f>
        <v/>
      </c>
      <c r="R59" s="332" t="str">
        <f>IF(B59="","",(IF(OR('Ingoing Substances'!O59="N",'Ingoing substances_DID'!O59="R"),"",P59)))</f>
        <v/>
      </c>
      <c r="S59" s="332" t="str">
        <f>IF(B59="","",IF(OR('Ingoing Substances'!O59="N",'Ingoing substances_DID'!Q59="Y"),"",P59))</f>
        <v/>
      </c>
      <c r="T59" s="385" t="str">
        <f>IF('Ingoing Substances'!U59="","",'Ingoing Substances'!U59*P59/100)</f>
        <v/>
      </c>
    </row>
    <row r="60" spans="1:20" x14ac:dyDescent="0.15">
      <c r="A60" s="37">
        <v>49</v>
      </c>
      <c r="B60" s="328" t="str">
        <f>IF('Ingoing substances_DID'!B60="","",'Ingoing substances_DID'!B60)</f>
        <v/>
      </c>
      <c r="C60" s="329" t="str">
        <f>IF('Ingoing substances_DID'!G60="","",'Ingoing substances_DID'!G60)</f>
        <v/>
      </c>
      <c r="D60" s="331" t="str">
        <f>IF(OR('Ingoing Substances'!Q60="N",'Ingoing substances_DID'!O60="R"),"",C60)</f>
        <v/>
      </c>
      <c r="E60" s="376" t="str">
        <f>IF(OR('Ingoing Substances'!T60="N",'Ingoing substances_DID'!P60="Y"),"",C60)</f>
        <v/>
      </c>
      <c r="F60" s="384" t="str">
        <f>IF(B60="","",C60*Product!$C$36/100)</f>
        <v/>
      </c>
      <c r="G60" s="330" t="str">
        <f>IF(B60="","",F60*'Ingoing substances_DID'!M60/'Ingoing substances_DID'!N60*1000)</f>
        <v/>
      </c>
      <c r="H60" s="331" t="str">
        <f>IF(B60="","",(IF(OR('Ingoing Substances'!O60="N",'Ingoing substances_DID'!O60="R"),"",F60)))</f>
        <v/>
      </c>
      <c r="I60" s="331" t="str">
        <f>IF(B60="","",IF(OR('Ingoing Substances'!O60="N",'Ingoing substances_DID'!Q60="Y"),"",F60))</f>
        <v/>
      </c>
      <c r="J60" s="385" t="str">
        <f>IF('Ingoing Substances'!U60="","",'Ingoing Substances'!U60*F60/100)</f>
        <v/>
      </c>
      <c r="K60" s="384" t="str">
        <f>IF(B60="","",C60*Product!$D$36/100)</f>
        <v/>
      </c>
      <c r="L60" s="330" t="str">
        <f>IF(B60="","",K60*'Ingoing substances_DID'!M60/'Ingoing substances_DID'!N60*1000)</f>
        <v/>
      </c>
      <c r="M60" s="332" t="str">
        <f>IF(B60="","",(IF(OR('Ingoing Substances'!O60="N",'Ingoing substances_DID'!O60="R"),"",K60)))</f>
        <v/>
      </c>
      <c r="N60" s="332" t="str">
        <f>IF(B60="","",IF(OR('Ingoing Substances'!O60="N",'Ingoing substances_DID'!Q60="Y"),"",K60))</f>
        <v/>
      </c>
      <c r="O60" s="385" t="str">
        <f>IF('Ingoing Substances'!U60="","",'Ingoing Substances'!U60*K60/100)</f>
        <v/>
      </c>
      <c r="P60" s="384" t="str">
        <f>IF(B60="","",C60*Product!$E$36/100)</f>
        <v/>
      </c>
      <c r="Q60" s="330" t="str">
        <f>IF(B60="","",P60*'Ingoing substances_DID'!M60/'Ingoing substances_DID'!N60*1000)</f>
        <v/>
      </c>
      <c r="R60" s="332" t="str">
        <f>IF(B60="","",(IF(OR('Ingoing Substances'!O60="N",'Ingoing substances_DID'!O60="R"),"",P60)))</f>
        <v/>
      </c>
      <c r="S60" s="332" t="str">
        <f>IF(B60="","",IF(OR('Ingoing Substances'!O60="N",'Ingoing substances_DID'!Q60="Y"),"",P60))</f>
        <v/>
      </c>
      <c r="T60" s="385" t="str">
        <f>IF('Ingoing Substances'!U60="","",'Ingoing Substances'!U60*P60/100)</f>
        <v/>
      </c>
    </row>
    <row r="61" spans="1:20" ht="14" thickBot="1" x14ac:dyDescent="0.2">
      <c r="A61" s="37">
        <v>50</v>
      </c>
      <c r="B61" s="328" t="str">
        <f>IF('Ingoing substances_DID'!B61="","",'Ingoing substances_DID'!B61)</f>
        <v/>
      </c>
      <c r="C61" s="329" t="str">
        <f>IF('Ingoing substances_DID'!G61="","",'Ingoing substances_DID'!G61)</f>
        <v/>
      </c>
      <c r="D61" s="331" t="str">
        <f>IF(OR('Ingoing Substances'!Q61="N",'Ingoing substances_DID'!O61="R"),"",C61)</f>
        <v/>
      </c>
      <c r="E61" s="376" t="str">
        <f>IF(OR('Ingoing Substances'!T61="N",'Ingoing substances_DID'!P61="Y"),"",C61)</f>
        <v/>
      </c>
      <c r="F61" s="386" t="str">
        <f>IF(B61="","",C61*Product!$C$36/100)</f>
        <v/>
      </c>
      <c r="G61" s="387" t="str">
        <f>IF(B61="","",F61*'Ingoing substances_DID'!M61/'Ingoing substances_DID'!N61*1000)</f>
        <v/>
      </c>
      <c r="H61" s="388" t="str">
        <f>IF(B61="","",(IF(OR('Ingoing Substances'!O61="N",'Ingoing substances_DID'!O61="R"),"",F61)))</f>
        <v/>
      </c>
      <c r="I61" s="388" t="str">
        <f>IF(B61="","",IF(OR('Ingoing Substances'!O61="N",'Ingoing substances_DID'!Q61="Y"),"",F61))</f>
        <v/>
      </c>
      <c r="J61" s="389" t="str">
        <f>IF('Ingoing Substances'!U61="","",'Ingoing Substances'!U61*F61/100)</f>
        <v/>
      </c>
      <c r="K61" s="386" t="str">
        <f>IF(B61="","",C61*Product!$D$36/100)</f>
        <v/>
      </c>
      <c r="L61" s="387" t="str">
        <f>IF(B61="","",K61*'Ingoing substances_DID'!M61/'Ingoing substances_DID'!N61*1000)</f>
        <v/>
      </c>
      <c r="M61" s="391" t="str">
        <f>IF(B61="","",(IF(OR('Ingoing Substances'!O61="N",'Ingoing substances_DID'!O61="R"),"",K61)))</f>
        <v/>
      </c>
      <c r="N61" s="391" t="str">
        <f>IF(B61="","",IF(OR('Ingoing Substances'!O61="N",'Ingoing substances_DID'!Q61="Y"),"",K61))</f>
        <v/>
      </c>
      <c r="O61" s="389" t="str">
        <f>IF('Ingoing Substances'!U61="","",'Ingoing Substances'!U61*K61/100)</f>
        <v/>
      </c>
      <c r="P61" s="386" t="str">
        <f>IF(B61="","",C61*Product!$E$36/100)</f>
        <v/>
      </c>
      <c r="Q61" s="387" t="str">
        <f>IF(B61="","",P61*'Ingoing substances_DID'!M61/'Ingoing substances_DID'!N61*1000)</f>
        <v/>
      </c>
      <c r="R61" s="391" t="str">
        <f>IF(B61="","",(IF(OR('Ingoing Substances'!O61="N",'Ingoing substances_DID'!O61="R"),"",P61)))</f>
        <v/>
      </c>
      <c r="S61" s="391" t="str">
        <f>IF(B61="","",IF(OR('Ingoing Substances'!O61="N",'Ingoing substances_DID'!Q61="Y"),"",P61))</f>
        <v/>
      </c>
      <c r="T61" s="389" t="str">
        <f>IF('Ingoing Substances'!U61="","",'Ingoing Substances'!U61*P61/100)</f>
        <v/>
      </c>
    </row>
    <row r="62" spans="1:20" ht="14" x14ac:dyDescent="0.15">
      <c r="A62" s="40"/>
      <c r="B62" s="145" t="str">
        <f>'Formulation Pre-Products'!B62</f>
        <v>Sum:</v>
      </c>
      <c r="C62" s="20"/>
      <c r="D62" s="146">
        <f t="shared" ref="D62:I62" si="5">SUM(D13:D61)</f>
        <v>0</v>
      </c>
      <c r="E62" s="333">
        <f t="shared" si="5"/>
        <v>0</v>
      </c>
      <c r="F62" s="20"/>
      <c r="G62" s="377">
        <f t="shared" si="5"/>
        <v>0</v>
      </c>
      <c r="H62" s="492">
        <f t="shared" si="5"/>
        <v>0</v>
      </c>
      <c r="I62" s="492">
        <f t="shared" si="5"/>
        <v>0</v>
      </c>
      <c r="J62" s="492">
        <f t="shared" ref="J62" si="6">SUM(J13:J61)</f>
        <v>0</v>
      </c>
      <c r="K62" s="20"/>
      <c r="L62" s="377">
        <f t="shared" ref="L62:N62" si="7">SUM(L13:L61)</f>
        <v>0</v>
      </c>
      <c r="M62" s="492">
        <f t="shared" si="7"/>
        <v>0</v>
      </c>
      <c r="N62" s="492">
        <f t="shared" si="7"/>
        <v>0</v>
      </c>
      <c r="O62" s="492">
        <f t="shared" ref="O62" si="8">SUM(O13:O61)</f>
        <v>0</v>
      </c>
      <c r="P62" s="20"/>
      <c r="Q62" s="377">
        <f t="shared" ref="Q62:S62" si="9">SUM(Q13:Q61)</f>
        <v>0</v>
      </c>
      <c r="R62" s="492">
        <f t="shared" si="9"/>
        <v>0</v>
      </c>
      <c r="S62" s="492">
        <f t="shared" si="9"/>
        <v>0</v>
      </c>
      <c r="T62" s="492">
        <f t="shared" ref="T62" si="10">SUM(T13:T61)</f>
        <v>0</v>
      </c>
    </row>
    <row r="63" spans="1:20" ht="24" customHeight="1" x14ac:dyDescent="0.15">
      <c r="A63" s="23"/>
      <c r="B63" s="334" t="s">
        <v>475</v>
      </c>
      <c r="C63" s="46"/>
      <c r="D63" s="335" t="str">
        <f>IF(Product!$C$2=Languages!A3,Languages!A47,Languages!B47)</f>
        <v>=aNBO (surf.)</v>
      </c>
      <c r="E63" s="335" t="str">
        <f>IF(Product!$C$2=Languages!A3,Languages!A48,Languages!B48)</f>
        <v>=anNBO (surf. H400/H412)</v>
      </c>
      <c r="F63" s="46"/>
      <c r="G63" s="335" t="str">
        <f>"="&amp;G10</f>
        <v>=CDV chron</v>
      </c>
      <c r="H63" s="335" t="str">
        <f>IF(Product!$C$2=Languages!A3,Languages!A49,Languages!B49)</f>
        <v>=aNBO (org. subst.)</v>
      </c>
      <c r="I63" s="335" t="str">
        <f>IF(Product!$C$2=Languages!A3,Languages!A50,Languages!B50)</f>
        <v>=anNBO (org. subst.)</v>
      </c>
      <c r="J63" s="336" t="s">
        <v>809</v>
      </c>
      <c r="K63" s="46"/>
      <c r="L63" s="335" t="str">
        <f>G63</f>
        <v>=CDV chron</v>
      </c>
      <c r="M63" s="335" t="str">
        <f t="shared" ref="M63:O63" si="11">H63</f>
        <v>=aNBO (org. subst.)</v>
      </c>
      <c r="N63" s="335" t="str">
        <f t="shared" si="11"/>
        <v>=anNBO (org. subst.)</v>
      </c>
      <c r="O63" s="335" t="str">
        <f t="shared" si="11"/>
        <v>=P</v>
      </c>
      <c r="P63" s="46"/>
      <c r="Q63" s="335" t="str">
        <f>L63</f>
        <v>=CDV chron</v>
      </c>
      <c r="R63" s="335" t="str">
        <f t="shared" ref="R63" si="12">M63</f>
        <v>=aNBO (org. subst.)</v>
      </c>
      <c r="S63" s="335" t="str">
        <f t="shared" ref="S63" si="13">N63</f>
        <v>=anNBO (org. subst.)</v>
      </c>
      <c r="T63" s="335" t="str">
        <f t="shared" ref="T63" si="14">O63</f>
        <v>=P</v>
      </c>
    </row>
    <row r="64" spans="1:20" ht="24.75" customHeight="1" x14ac:dyDescent="0.15">
      <c r="A64" s="23"/>
      <c r="B64" s="334" t="s">
        <v>475</v>
      </c>
      <c r="C64" s="337" t="str">
        <f>IF(Product!$C$2=Languages!A3,Languages!A88,Languages!B88)</f>
        <v>Limit</v>
      </c>
      <c r="D64" s="338">
        <v>0</v>
      </c>
      <c r="E64" s="338">
        <v>0</v>
      </c>
      <c r="F64" s="46"/>
      <c r="G64" s="338" t="e">
        <f>VLOOKUP(Product!$C$22,Auswahldaten!$A$113:$AN$151,2,FALSE)</f>
        <v>#N/A</v>
      </c>
      <c r="H64" s="372" t="e">
        <f>VLOOKUP(Product!$C$22,Auswahldaten!$A$113:$AN$151,3,FALSE)</f>
        <v>#N/A</v>
      </c>
      <c r="I64" s="372" t="e">
        <f>VLOOKUP(Product!$C$22,Auswahldaten!$A$113:$AN$151,4,FALSE)</f>
        <v>#N/A</v>
      </c>
      <c r="J64" s="372" t="e">
        <f>VLOOKUP(Product!$C$22,Auswahldaten!$A$113:$AN$151,6,FALSE)</f>
        <v>#N/A</v>
      </c>
      <c r="K64" s="46"/>
      <c r="L64" s="338" t="e">
        <f>VLOOKUP(Product!$C$22,Auswahldaten!$A$113:$AN$151,9,FALSE)</f>
        <v>#N/A</v>
      </c>
      <c r="M64" s="372" t="e">
        <f>VLOOKUP(Product!$C$22,Auswahldaten!$A$113:$AN$151,10,FALSE)</f>
        <v>#N/A</v>
      </c>
      <c r="N64" s="372" t="e">
        <f>VLOOKUP(Product!$C$22,Auswahldaten!$A$113:$AN$151,11,FALSE)</f>
        <v>#N/A</v>
      </c>
      <c r="O64" s="372" t="e">
        <f>VLOOKUP(Product!$C$22,Auswahldaten!$A$113:$AN$151,12,FALSE)</f>
        <v>#N/A</v>
      </c>
      <c r="P64" s="46"/>
      <c r="Q64" s="338" t="e">
        <f>VLOOKUP(Product!$C$22,Auswahldaten!$A$113:$AN$151,13,FALSE)</f>
        <v>#N/A</v>
      </c>
      <c r="R64" s="372" t="e">
        <f>VLOOKUP(Product!$C$22,Auswahldaten!$A$113:$AN$151,14,FALSE)</f>
        <v>#N/A</v>
      </c>
      <c r="S64" s="372" t="e">
        <f>VLOOKUP(Product!$C$22,Auswahldaten!$A$113:$AN$151,15,FALSE)</f>
        <v>#N/A</v>
      </c>
      <c r="T64" s="372" t="e">
        <f>VLOOKUP(Product!$C$22,Auswahldaten!$A$113:$AN$151,16,FALSE)</f>
        <v>#N/A</v>
      </c>
    </row>
    <row r="65" spans="1:20" ht="14" thickBot="1" x14ac:dyDescent="0.2">
      <c r="A65" s="23"/>
      <c r="B65" s="334" t="s">
        <v>475</v>
      </c>
      <c r="C65" s="339" t="str">
        <f>IF(Product!$C$2=Languages!A3,Languages!A89,Languages!B89)</f>
        <v>Result</v>
      </c>
      <c r="D65" s="340" t="str">
        <f>IF(D62=0,"ok","not ok")</f>
        <v>ok</v>
      </c>
      <c r="E65" s="340" t="str">
        <f>IF(E62=0,"ok","not ok")</f>
        <v>ok</v>
      </c>
      <c r="F65" s="46"/>
      <c r="G65" s="340" t="e">
        <f>IF(G62&lt;=G64,"ok","not ok")</f>
        <v>#N/A</v>
      </c>
      <c r="H65" s="341" t="e">
        <f>IF(H62&lt;=H64,"ok","not ok")</f>
        <v>#N/A</v>
      </c>
      <c r="I65" s="340" t="e">
        <f>IF(I62&lt;=I64,"ok","not ok")</f>
        <v>#N/A</v>
      </c>
      <c r="J65" s="340" t="e">
        <f>IF(J62&lt;=J64,"ok","not ok")</f>
        <v>#N/A</v>
      </c>
      <c r="K65" s="46"/>
      <c r="L65" s="340" t="e">
        <f>IF(L62&lt;=L64,"ok","not ok")</f>
        <v>#N/A</v>
      </c>
      <c r="M65" s="341" t="e">
        <f>IF(M62&lt;=M64,"ok","not ok")</f>
        <v>#N/A</v>
      </c>
      <c r="N65" s="340" t="e">
        <f>IF(N62&lt;=N64,"ok","not ok")</f>
        <v>#N/A</v>
      </c>
      <c r="O65" s="340" t="e">
        <f>IF(O62&lt;=O64,"ok","not ok")</f>
        <v>#N/A</v>
      </c>
      <c r="P65" s="46"/>
      <c r="Q65" s="340" t="e">
        <f>IF(Q62&lt;=Q64,"ok","not ok")</f>
        <v>#N/A</v>
      </c>
      <c r="R65" s="341" t="e">
        <f>IF(R62&lt;=R64,"ok","not ok")</f>
        <v>#N/A</v>
      </c>
      <c r="S65" s="340" t="e">
        <f>IF(S62&lt;=S64,"ok","not ok")</f>
        <v>#N/A</v>
      </c>
      <c r="T65" s="340" t="e">
        <f>IF(T62&lt;=T64,"ok","not ok")</f>
        <v>#N/A</v>
      </c>
    </row>
    <row r="66" spans="1:20" ht="17" thickTop="1" x14ac:dyDescent="0.2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 x14ac:dyDescent="0.2">
      <c r="A67" s="16"/>
      <c r="B67" s="687" t="str">
        <f>'Formulation Pre-Products'!B67</f>
        <v>remarks of the applicant</v>
      </c>
      <c r="C67" s="693"/>
      <c r="D67" s="693"/>
      <c r="E67" s="693"/>
      <c r="F67" s="693"/>
      <c r="G67" s="693"/>
      <c r="H67" s="693"/>
      <c r="I67" s="693"/>
      <c r="J67" s="692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6" x14ac:dyDescent="0.2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6" x14ac:dyDescent="0.2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6" x14ac:dyDescent="0.2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6" x14ac:dyDescent="0.2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6" x14ac:dyDescent="0.2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6" x14ac:dyDescent="0.2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6" x14ac:dyDescent="0.2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6" x14ac:dyDescent="0.2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6" x14ac:dyDescent="0.2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6" x14ac:dyDescent="0.2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6" x14ac:dyDescent="0.2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6" x14ac:dyDescent="0.2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6" x14ac:dyDescent="0.2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6" x14ac:dyDescent="0.2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6" x14ac:dyDescent="0.2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6" x14ac:dyDescent="0.2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6" x14ac:dyDescent="0.2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6" x14ac:dyDescent="0.2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6" x14ac:dyDescent="0.2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6" x14ac:dyDescent="0.2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6" x14ac:dyDescent="0.2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6" x14ac:dyDescent="0.2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6" x14ac:dyDescent="0.2">
      <c r="J90" s="18"/>
      <c r="O90" s="18"/>
      <c r="T90" s="18"/>
    </row>
    <row r="91" spans="1:20" ht="16" x14ac:dyDescent="0.2">
      <c r="J91" s="18"/>
      <c r="O91" s="18"/>
      <c r="T91" s="18"/>
    </row>
    <row r="92" spans="1:20" ht="16" x14ac:dyDescent="0.2">
      <c r="J92" s="18"/>
      <c r="O92" s="18"/>
      <c r="T92" s="18"/>
    </row>
    <row r="93" spans="1:20" ht="16" x14ac:dyDescent="0.2">
      <c r="J93" s="18"/>
      <c r="O93" s="18"/>
      <c r="T93" s="18"/>
    </row>
    <row r="94" spans="1:20" ht="16" x14ac:dyDescent="0.2">
      <c r="J94" s="18"/>
      <c r="O94" s="18"/>
      <c r="T94" s="18"/>
    </row>
    <row r="95" spans="1:20" ht="16" x14ac:dyDescent="0.2">
      <c r="J95" s="18"/>
      <c r="O95" s="18"/>
      <c r="T95" s="18"/>
    </row>
    <row r="96" spans="1:20" ht="16" x14ac:dyDescent="0.2">
      <c r="J96" s="18"/>
      <c r="O96" s="18"/>
      <c r="T96" s="18"/>
    </row>
    <row r="97" spans="10:20" ht="16" x14ac:dyDescent="0.2">
      <c r="J97" s="18"/>
      <c r="O97" s="18"/>
      <c r="T97" s="18"/>
    </row>
    <row r="98" spans="10:20" ht="16" x14ac:dyDescent="0.2">
      <c r="J98" s="18"/>
      <c r="O98" s="18"/>
      <c r="T98" s="18"/>
    </row>
    <row r="99" spans="10:20" ht="16" x14ac:dyDescent="0.2">
      <c r="J99" s="18"/>
      <c r="O99" s="18"/>
      <c r="T99" s="18"/>
    </row>
    <row r="100" spans="10:20" ht="16" x14ac:dyDescent="0.2">
      <c r="J100" s="18"/>
      <c r="O100" s="18"/>
      <c r="T100" s="18"/>
    </row>
    <row r="101" spans="10:20" ht="16" x14ac:dyDescent="0.2">
      <c r="J101" s="18"/>
      <c r="O101" s="18"/>
      <c r="T101" s="18"/>
    </row>
    <row r="102" spans="10:20" ht="16" x14ac:dyDescent="0.2">
      <c r="J102" s="18"/>
      <c r="O102" s="18"/>
      <c r="T102" s="18"/>
    </row>
    <row r="103" spans="10:20" ht="16" x14ac:dyDescent="0.2">
      <c r="J103" s="18"/>
      <c r="O103" s="18"/>
      <c r="T103" s="18"/>
    </row>
    <row r="104" spans="10:20" ht="16" x14ac:dyDescent="0.2">
      <c r="J104" s="18"/>
      <c r="O104" s="18"/>
      <c r="T104" s="18"/>
    </row>
    <row r="105" spans="10:20" ht="16" x14ac:dyDescent="0.2">
      <c r="J105" s="18"/>
      <c r="O105" s="18"/>
      <c r="T105" s="18"/>
    </row>
    <row r="106" spans="10:20" ht="16" x14ac:dyDescent="0.2">
      <c r="J106" s="18"/>
      <c r="O106" s="18"/>
      <c r="T106" s="18"/>
    </row>
    <row r="107" spans="10:20" ht="16" x14ac:dyDescent="0.2">
      <c r="J107" s="18"/>
      <c r="O107" s="18"/>
      <c r="T107" s="18"/>
    </row>
    <row r="108" spans="10:20" ht="16" x14ac:dyDescent="0.2">
      <c r="J108" s="18"/>
      <c r="O108" s="18"/>
      <c r="T108" s="18"/>
    </row>
    <row r="109" spans="10:20" ht="16" x14ac:dyDescent="0.2">
      <c r="J109" s="18"/>
      <c r="O109" s="18"/>
      <c r="T109" s="18"/>
    </row>
    <row r="110" spans="10:20" ht="16" x14ac:dyDescent="0.2">
      <c r="J110" s="18"/>
      <c r="O110" s="18"/>
      <c r="T110" s="18"/>
    </row>
    <row r="111" spans="10:20" ht="16" x14ac:dyDescent="0.2">
      <c r="J111" s="18"/>
      <c r="O111" s="18"/>
      <c r="T111" s="18"/>
    </row>
    <row r="112" spans="10:20" ht="16" x14ac:dyDescent="0.2">
      <c r="J112" s="18"/>
      <c r="O112" s="18"/>
      <c r="T112" s="18"/>
    </row>
    <row r="113" spans="10:20" ht="16" x14ac:dyDescent="0.2">
      <c r="J113" s="18"/>
      <c r="O113" s="18"/>
      <c r="T113" s="18"/>
    </row>
    <row r="114" spans="10:20" ht="16" x14ac:dyDescent="0.2">
      <c r="J114" s="18"/>
      <c r="O114" s="18"/>
      <c r="T114" s="18"/>
    </row>
    <row r="115" spans="10:20" ht="16" x14ac:dyDescent="0.2">
      <c r="J115" s="18"/>
      <c r="O115" s="18"/>
      <c r="T115" s="18"/>
    </row>
    <row r="116" spans="10:20" ht="16" x14ac:dyDescent="0.2">
      <c r="J116" s="18"/>
      <c r="O116" s="18"/>
      <c r="T116" s="18"/>
    </row>
    <row r="117" spans="10:20" ht="16" x14ac:dyDescent="0.2">
      <c r="J117" s="18"/>
      <c r="O117" s="18"/>
      <c r="T117" s="18"/>
    </row>
    <row r="118" spans="10:20" ht="16" x14ac:dyDescent="0.2">
      <c r="J118" s="18"/>
      <c r="O118" s="18"/>
      <c r="T118" s="18"/>
    </row>
    <row r="119" spans="10:20" ht="16" x14ac:dyDescent="0.2">
      <c r="J119" s="18"/>
      <c r="O119" s="18"/>
      <c r="T119" s="18"/>
    </row>
    <row r="120" spans="10:20" ht="16" x14ac:dyDescent="0.2">
      <c r="J120" s="18"/>
      <c r="O120" s="18"/>
      <c r="T120" s="18"/>
    </row>
    <row r="121" spans="10:20" ht="16" x14ac:dyDescent="0.2">
      <c r="J121" s="18"/>
      <c r="O121" s="18"/>
      <c r="T121" s="18"/>
    </row>
    <row r="122" spans="10:20" ht="16" x14ac:dyDescent="0.2">
      <c r="J122" s="18"/>
      <c r="O122" s="18"/>
      <c r="T122" s="18"/>
    </row>
    <row r="123" spans="10:20" ht="16" x14ac:dyDescent="0.2">
      <c r="J123" s="18"/>
      <c r="O123" s="18"/>
      <c r="T123" s="18"/>
    </row>
    <row r="124" spans="10:20" ht="16" x14ac:dyDescent="0.2">
      <c r="J124" s="18"/>
      <c r="O124" s="18"/>
      <c r="T124" s="18"/>
    </row>
    <row r="125" spans="10:20" ht="16" x14ac:dyDescent="0.2">
      <c r="J125" s="18"/>
      <c r="O125" s="18"/>
      <c r="T125" s="18"/>
    </row>
    <row r="126" spans="10:20" ht="16" x14ac:dyDescent="0.2">
      <c r="J126" s="18"/>
      <c r="O126" s="18"/>
      <c r="T126" s="18"/>
    </row>
    <row r="127" spans="10:20" ht="16" x14ac:dyDescent="0.2">
      <c r="J127" s="18"/>
      <c r="O127" s="18"/>
      <c r="T127" s="18"/>
    </row>
    <row r="128" spans="10:20" ht="16" x14ac:dyDescent="0.2">
      <c r="J128" s="18"/>
      <c r="O128" s="18"/>
      <c r="T128" s="18"/>
    </row>
    <row r="129" spans="10:20" ht="16" x14ac:dyDescent="0.2">
      <c r="J129" s="18"/>
      <c r="O129" s="18"/>
      <c r="T129" s="18"/>
    </row>
    <row r="130" spans="10:20" ht="16" x14ac:dyDescent="0.2">
      <c r="J130" s="18"/>
      <c r="O130" s="18"/>
      <c r="T130" s="18"/>
    </row>
    <row r="131" spans="10:20" ht="16" x14ac:dyDescent="0.2">
      <c r="J131" s="18"/>
      <c r="O131" s="18"/>
      <c r="T131" s="18"/>
    </row>
    <row r="132" spans="10:20" ht="16" x14ac:dyDescent="0.2">
      <c r="J132" s="18"/>
      <c r="O132" s="18"/>
      <c r="T132" s="18"/>
    </row>
    <row r="133" spans="10:20" ht="16" x14ac:dyDescent="0.2">
      <c r="J133" s="18"/>
      <c r="O133" s="18"/>
      <c r="T133" s="18"/>
    </row>
    <row r="134" spans="10:20" ht="16" x14ac:dyDescent="0.2">
      <c r="J134" s="18"/>
      <c r="O134" s="18"/>
      <c r="T134" s="18"/>
    </row>
    <row r="135" spans="10:20" ht="16" x14ac:dyDescent="0.2">
      <c r="J135" s="18"/>
      <c r="O135" s="18"/>
      <c r="T135" s="18"/>
    </row>
    <row r="136" spans="10:20" ht="16" x14ac:dyDescent="0.2">
      <c r="J136" s="18"/>
      <c r="O136" s="18"/>
      <c r="T136" s="18"/>
    </row>
    <row r="137" spans="10:20" ht="16" x14ac:dyDescent="0.2">
      <c r="J137" s="18"/>
      <c r="O137" s="18"/>
      <c r="T137" s="18"/>
    </row>
    <row r="138" spans="10:20" ht="16" x14ac:dyDescent="0.2">
      <c r="J138" s="18"/>
      <c r="O138" s="18"/>
      <c r="T138" s="18"/>
    </row>
    <row r="139" spans="10:20" ht="16" x14ac:dyDescent="0.2">
      <c r="J139" s="18"/>
      <c r="O139" s="18"/>
      <c r="T139" s="18"/>
    </row>
    <row r="140" spans="10:20" ht="16" x14ac:dyDescent="0.2">
      <c r="J140" s="18"/>
      <c r="O140" s="18"/>
      <c r="T140" s="18"/>
    </row>
    <row r="141" spans="10:20" ht="16" x14ac:dyDescent="0.2">
      <c r="J141" s="18"/>
      <c r="O141" s="18"/>
      <c r="T141" s="18"/>
    </row>
    <row r="142" spans="10:20" ht="16" x14ac:dyDescent="0.2">
      <c r="J142" s="18"/>
      <c r="O142" s="18"/>
      <c r="T142" s="18"/>
    </row>
    <row r="143" spans="10:20" ht="16" x14ac:dyDescent="0.2">
      <c r="J143" s="18"/>
      <c r="O143" s="18"/>
      <c r="T143" s="18"/>
    </row>
    <row r="144" spans="10:20" ht="16" x14ac:dyDescent="0.2">
      <c r="J144" s="18"/>
      <c r="O144" s="18"/>
      <c r="T144" s="18"/>
    </row>
    <row r="145" spans="10:20" ht="16" x14ac:dyDescent="0.2">
      <c r="J145" s="18"/>
      <c r="O145" s="18"/>
      <c r="T145" s="18"/>
    </row>
    <row r="146" spans="10:20" ht="16" x14ac:dyDescent="0.2">
      <c r="J146" s="18"/>
      <c r="O146" s="18"/>
      <c r="T146" s="18"/>
    </row>
    <row r="147" spans="10:20" ht="16" x14ac:dyDescent="0.2">
      <c r="J147" s="18"/>
      <c r="O147" s="18"/>
      <c r="T147" s="18"/>
    </row>
    <row r="148" spans="10:20" ht="16" x14ac:dyDescent="0.2">
      <c r="J148" s="18"/>
      <c r="O148" s="18"/>
      <c r="T148" s="18"/>
    </row>
    <row r="149" spans="10:20" ht="16" x14ac:dyDescent="0.2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 xr:uid="{00000000-0009-0000-0000-000004000000}"/>
  <mergeCells count="16">
    <mergeCell ref="K9:O9"/>
    <mergeCell ref="P9:T9"/>
    <mergeCell ref="D1:F1"/>
    <mergeCell ref="C5:F5"/>
    <mergeCell ref="C6:F6"/>
    <mergeCell ref="C4:F4"/>
    <mergeCell ref="C7:F7"/>
    <mergeCell ref="C8:F8"/>
    <mergeCell ref="F9:J9"/>
    <mergeCell ref="G1:J1"/>
    <mergeCell ref="B67:J67"/>
    <mergeCell ref="A6:B6"/>
    <mergeCell ref="A4:B4"/>
    <mergeCell ref="A5:B5"/>
    <mergeCell ref="A7:B7"/>
    <mergeCell ref="A8:B8"/>
  </mergeCells>
  <phoneticPr fontId="4" type="noConversion"/>
  <conditionalFormatting sqref="H65:I65 D65:E65">
    <cfRule type="beginsWith" dxfId="208" priority="21" operator="beginsWith" text="not">
      <formula>LEFT(D65,LEN("not"))="not"</formula>
    </cfRule>
    <cfRule type="beginsWith" dxfId="207" priority="22" operator="beginsWith" text="ok">
      <formula>LEFT(D65,LEN("ok"))="ok"</formula>
    </cfRule>
  </conditionalFormatting>
  <conditionalFormatting sqref="J65">
    <cfRule type="beginsWith" dxfId="206" priority="15" operator="beginsWith" text="not">
      <formula>LEFT(J65,LEN("not"))="not"</formula>
    </cfRule>
    <cfRule type="beginsWith" dxfId="205" priority="16" operator="beginsWith" text="ok">
      <formula>LEFT(J65,LEN("ok"))="ok"</formula>
    </cfRule>
  </conditionalFormatting>
  <conditionalFormatting sqref="G65">
    <cfRule type="beginsWith" dxfId="204" priority="13" operator="beginsWith" text="not">
      <formula>LEFT(G65,LEN("not"))="not"</formula>
    </cfRule>
    <cfRule type="beginsWith" dxfId="203" priority="14" operator="beginsWith" text="ok">
      <formula>LEFT(G65,LEN("ok"))="ok"</formula>
    </cfRule>
  </conditionalFormatting>
  <conditionalFormatting sqref="M65:N65">
    <cfRule type="beginsWith" dxfId="202" priority="11" operator="beginsWith" text="not">
      <formula>LEFT(M65,LEN("not"))="not"</formula>
    </cfRule>
    <cfRule type="beginsWith" dxfId="201" priority="12" operator="beginsWith" text="ok">
      <formula>LEFT(M65,LEN("ok"))="ok"</formula>
    </cfRule>
  </conditionalFormatting>
  <conditionalFormatting sqref="O65">
    <cfRule type="beginsWith" dxfId="200" priority="9" operator="beginsWith" text="not">
      <formula>LEFT(O65,LEN("not"))="not"</formula>
    </cfRule>
    <cfRule type="beginsWith" dxfId="199" priority="10" operator="beginsWith" text="ok">
      <formula>LEFT(O65,LEN("ok"))="ok"</formula>
    </cfRule>
  </conditionalFormatting>
  <conditionalFormatting sqref="L65">
    <cfRule type="beginsWith" dxfId="198" priority="7" operator="beginsWith" text="not">
      <formula>LEFT(L65,LEN("not"))="not"</formula>
    </cfRule>
    <cfRule type="beginsWith" dxfId="197" priority="8" operator="beginsWith" text="ok">
      <formula>LEFT(L65,LEN("ok"))="ok"</formula>
    </cfRule>
  </conditionalFormatting>
  <conditionalFormatting sqref="R65:S65">
    <cfRule type="beginsWith" dxfId="196" priority="5" operator="beginsWith" text="not">
      <formula>LEFT(R65,LEN("not"))="not"</formula>
    </cfRule>
    <cfRule type="beginsWith" dxfId="195" priority="6" operator="beginsWith" text="ok">
      <formula>LEFT(R65,LEN("ok"))="ok"</formula>
    </cfRule>
  </conditionalFormatting>
  <conditionalFormatting sqref="T65">
    <cfRule type="beginsWith" dxfId="194" priority="3" operator="beginsWith" text="not">
      <formula>LEFT(T65,LEN("not"))="not"</formula>
    </cfRule>
    <cfRule type="beginsWith" dxfId="193" priority="4" operator="beginsWith" text="ok">
      <formula>LEFT(T65,LEN("ok"))="ok"</formula>
    </cfRule>
  </conditionalFormatting>
  <conditionalFormatting sqref="Q65">
    <cfRule type="beginsWith" dxfId="192" priority="1" operator="beginsWith" text="not">
      <formula>LEFT(Q65,LEN("not"))="not"</formula>
    </cfRule>
    <cfRule type="beginsWith" dxfId="191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 xr:uid="{00000000-0002-0000-0400-000000000000}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  <ignoredErrors>
    <ignoredError sqref="B13:B24 B67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49"/>
  <sheetViews>
    <sheetView topLeftCell="B1" zoomScaleNormal="100" workbookViewId="0">
      <selection activeCell="B67" sqref="B67:J67"/>
    </sheetView>
  </sheetViews>
  <sheetFormatPr baseColWidth="10" defaultColWidth="11.5" defaultRowHeight="13" x14ac:dyDescent="0.15"/>
  <cols>
    <col min="1" max="1" width="3.6640625" style="97" customWidth="1"/>
    <col min="2" max="2" width="35.33203125" style="9" customWidth="1"/>
    <col min="3" max="3" width="17.33203125" style="97" customWidth="1"/>
    <col min="4" max="4" width="12.33203125" style="34" customWidth="1"/>
    <col min="5" max="5" width="12.83203125" style="34" customWidth="1"/>
    <col min="6" max="6" width="10.6640625" style="34" customWidth="1"/>
    <col min="7" max="7" width="11.6640625" style="34" customWidth="1"/>
    <col min="8" max="8" width="13.6640625" style="34" customWidth="1"/>
    <col min="9" max="9" width="13.6640625" style="9" customWidth="1"/>
    <col min="10" max="10" width="11.5" style="9"/>
    <col min="11" max="11" width="10.6640625" style="34" customWidth="1"/>
    <col min="12" max="12" width="11.6640625" style="34" customWidth="1"/>
    <col min="13" max="13" width="13.6640625" style="34" customWidth="1"/>
    <col min="14" max="14" width="13.6640625" style="9" customWidth="1"/>
    <col min="15" max="15" width="11.5" style="9"/>
    <col min="16" max="16" width="10.6640625" style="34" customWidth="1"/>
    <col min="17" max="17" width="11.6640625" style="34" customWidth="1"/>
    <col min="18" max="18" width="13.6640625" style="34" customWidth="1"/>
    <col min="19" max="19" width="13.6640625" style="9" customWidth="1"/>
    <col min="20" max="20" width="11.5" style="9"/>
  </cols>
  <sheetData>
    <row r="1" spans="1:20" s="7" customFormat="1" ht="16" x14ac:dyDescent="0.2">
      <c r="A1" s="16"/>
      <c r="B1" s="103"/>
      <c r="C1" s="17"/>
      <c r="D1" s="665" t="str">
        <f>Product!G1</f>
        <v>COMMISSION DECISION</v>
      </c>
      <c r="E1" s="706"/>
      <c r="F1" s="666"/>
      <c r="G1" s="684">
        <f>Product!I1</f>
        <v>0</v>
      </c>
      <c r="H1" s="695"/>
      <c r="I1" s="695"/>
      <c r="J1" s="685"/>
      <c r="K1" s="18"/>
      <c r="M1" s="18"/>
      <c r="N1" s="18"/>
      <c r="O1" s="18"/>
      <c r="P1" s="18"/>
      <c r="R1" s="18"/>
      <c r="S1" s="18"/>
      <c r="T1" s="18"/>
    </row>
    <row r="2" spans="1:20" s="7" customFormat="1" ht="16" x14ac:dyDescent="0.2">
      <c r="A2" s="23"/>
      <c r="B2" s="46"/>
      <c r="C2" s="46"/>
      <c r="D2" s="49"/>
      <c r="E2" s="58"/>
      <c r="F2" s="58"/>
      <c r="G2" s="58"/>
      <c r="H2" s="295" t="str">
        <f>Product!I2</f>
        <v>Template March 2020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6" x14ac:dyDescent="0.2">
      <c r="A3" s="23"/>
      <c r="B3" s="46"/>
      <c r="C3" s="46"/>
      <c r="D3" s="49"/>
      <c r="E3" s="104"/>
      <c r="F3" s="104"/>
      <c r="G3" s="104"/>
      <c r="H3" s="237" t="str">
        <f>Product!H4</f>
        <v>Date:</v>
      </c>
      <c r="I3" s="105">
        <f>Product!I4</f>
        <v>0</v>
      </c>
      <c r="J3" s="18"/>
      <c r="K3" s="104"/>
      <c r="L3" s="58"/>
      <c r="M3" s="18"/>
      <c r="N3" s="18"/>
      <c r="O3" s="18"/>
      <c r="P3" s="104"/>
      <c r="Q3" s="58"/>
      <c r="R3" s="18"/>
      <c r="S3" s="18"/>
      <c r="T3" s="18"/>
    </row>
    <row r="4" spans="1:20" s="7" customFormat="1" ht="16" x14ac:dyDescent="0.2">
      <c r="A4" s="670" t="str">
        <f>Product!A4</f>
        <v>Contract number:</v>
      </c>
      <c r="B4" s="671"/>
      <c r="C4" s="717">
        <f>Product!C4</f>
        <v>0</v>
      </c>
      <c r="D4" s="717"/>
      <c r="E4" s="717"/>
      <c r="F4" s="717"/>
      <c r="G4" s="104"/>
      <c r="H4" s="348" t="str">
        <f>Product!H5</f>
        <v>Version:</v>
      </c>
      <c r="I4" s="106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6" x14ac:dyDescent="0.2">
      <c r="A5" s="670" t="str">
        <f>Product!A5</f>
        <v>Licence Holder:</v>
      </c>
      <c r="B5" s="671"/>
      <c r="C5" s="717">
        <f>Product!C5</f>
        <v>0</v>
      </c>
      <c r="D5" s="717"/>
      <c r="E5" s="717"/>
      <c r="F5" s="717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6" x14ac:dyDescent="0.2">
      <c r="A6" s="670" t="str">
        <f>Product!A6</f>
        <v>Distributor / Product name (Country):</v>
      </c>
      <c r="B6" s="671"/>
      <c r="C6" s="717">
        <f>Product!C6</f>
        <v>0</v>
      </c>
      <c r="D6" s="717"/>
      <c r="E6" s="717"/>
      <c r="F6" s="717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6" x14ac:dyDescent="0.2">
      <c r="A7" s="670" t="str">
        <f>Product!A22</f>
        <v>Type of product:</v>
      </c>
      <c r="B7" s="671"/>
      <c r="C7" s="717">
        <f>Product!C22</f>
        <v>0</v>
      </c>
      <c r="D7" s="717"/>
      <c r="E7" s="717"/>
      <c r="F7" s="717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4" thickBot="1" x14ac:dyDescent="0.2">
      <c r="A8" s="670" t="str">
        <f>Product!A24</f>
        <v>Form of product:</v>
      </c>
      <c r="B8" s="671"/>
      <c r="C8" s="717">
        <f>Product!C24</f>
        <v>0</v>
      </c>
      <c r="D8" s="717"/>
      <c r="E8" s="717"/>
      <c r="F8" s="718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</row>
    <row r="9" spans="1:20" ht="15" customHeight="1" x14ac:dyDescent="0.15">
      <c r="A9" s="315"/>
      <c r="B9" s="349"/>
      <c r="C9" s="349"/>
      <c r="D9" s="349"/>
      <c r="E9" s="349"/>
      <c r="F9" s="719" t="str">
        <f>IF(Product!$C$2=Languages!A3,Languages!A210,Languages!B210)</f>
        <v>for soft water (&lt;1,5 mmol CaCO3/l)</v>
      </c>
      <c r="G9" s="720"/>
      <c r="H9" s="720"/>
      <c r="I9" s="720"/>
      <c r="J9" s="721"/>
      <c r="K9" s="714" t="str">
        <f>IF(Product!$C$2=Languages!A3,Languages!A211,Languages!B211)</f>
        <v>for medium water (1,5 – 2,5 mmol CaCO3/l)</v>
      </c>
      <c r="L9" s="715"/>
      <c r="M9" s="715"/>
      <c r="N9" s="715"/>
      <c r="O9" s="716"/>
      <c r="P9" s="714" t="str">
        <f>IF(Product!$C$2=Languages!A3,Languages!A212,Languages!B212)</f>
        <v>for hard water (&gt;2,5 mmol CaCO3/l)</v>
      </c>
      <c r="Q9" s="715"/>
      <c r="R9" s="715"/>
      <c r="S9" s="715"/>
      <c r="T9" s="716"/>
    </row>
    <row r="10" spans="1:20" s="7" customFormat="1" ht="46.5" customHeight="1" x14ac:dyDescent="0.15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IF(Product!$C$2=Languages!A3,Languages!A96,Languages!B96)</f>
        <v xml:space="preserve">Surfactant not readily biodegradable </v>
      </c>
      <c r="E10" s="373" t="str">
        <f>IF(Product!$C$2=Languages!A3,Languages!A97,Languages!B97)</f>
        <v xml:space="preserve">Surfactant (H400/H412) anaerobically non-biodegradable </v>
      </c>
      <c r="F10" s="378" t="str">
        <f>IF(Product!$C$2=Languages!A3,Languages!A51,Languages!B51)</f>
        <v>dosage</v>
      </c>
      <c r="G10" s="100" t="str">
        <f>IF(Product!$C$2=Languages!A3,Languages!A90,Languages!B90)</f>
        <v>CDV chron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379" t="str">
        <f>'Ingoing Substances'!U10</f>
        <v>elemental phosphorus</v>
      </c>
      <c r="K10" s="378" t="str">
        <f>F10</f>
        <v>dosage</v>
      </c>
      <c r="L10" s="100" t="str">
        <f t="shared" ref="L10:O11" si="0">G10</f>
        <v>CDV chron</v>
      </c>
      <c r="M10" s="100" t="str">
        <f t="shared" si="0"/>
        <v>Organic substance not readily biodegradable</v>
      </c>
      <c r="N10" s="100" t="str">
        <f t="shared" si="0"/>
        <v>Organic substance anaerobically non-biodegradable</v>
      </c>
      <c r="O10" s="390" t="str">
        <f t="shared" si="0"/>
        <v>elemental phosphorus</v>
      </c>
      <c r="P10" s="378" t="str">
        <f>K10</f>
        <v>dosage</v>
      </c>
      <c r="Q10" s="100" t="str">
        <f t="shared" ref="Q10:T11" si="1">L10</f>
        <v>CDV chron</v>
      </c>
      <c r="R10" s="100" t="str">
        <f t="shared" si="1"/>
        <v>Organic substance not readily biodegradable</v>
      </c>
      <c r="S10" s="100" t="str">
        <f t="shared" si="1"/>
        <v>Organic substance anaerobically non-biodegradable</v>
      </c>
      <c r="T10" s="390" t="str">
        <f t="shared" si="1"/>
        <v>elemental phosphorus</v>
      </c>
    </row>
    <row r="11" spans="1:20" s="7" customFormat="1" ht="34.5" customHeight="1" x14ac:dyDescent="0.15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C11</f>
        <v>mass-% (=g/100g product)</v>
      </c>
      <c r="E11" s="374" t="str">
        <f>C11</f>
        <v>mass-% (=g/100g product)</v>
      </c>
      <c r="F11" s="380" t="str">
        <f>IF(Product!$C$2=Languages!A3,Languages!A52,Languages!B52)</f>
        <v>(in g/...)</v>
      </c>
      <c r="G11" s="86" t="str">
        <f>IF(Product!$C$2=Languages!A3,Languages!A98,Languages!B98)</f>
        <v>(in l/...)</v>
      </c>
      <c r="H11" s="86" t="str">
        <f>F11</f>
        <v>(in g/...)</v>
      </c>
      <c r="I11" s="86" t="str">
        <f>H11</f>
        <v>(in g/...)</v>
      </c>
      <c r="J11" s="381" t="str">
        <f>I11</f>
        <v>(in g/...)</v>
      </c>
      <c r="K11" s="380" t="str">
        <f>F11</f>
        <v>(in g/...)</v>
      </c>
      <c r="L11" s="86" t="str">
        <f t="shared" si="0"/>
        <v>(in l/...)</v>
      </c>
      <c r="M11" s="86" t="str">
        <f t="shared" si="0"/>
        <v>(in g/...)</v>
      </c>
      <c r="N11" s="86" t="str">
        <f t="shared" si="0"/>
        <v>(in g/...)</v>
      </c>
      <c r="O11" s="381" t="str">
        <f t="shared" si="0"/>
        <v>(in g/...)</v>
      </c>
      <c r="P11" s="380" t="str">
        <f>K11</f>
        <v>(in g/...)</v>
      </c>
      <c r="Q11" s="86" t="str">
        <f t="shared" si="1"/>
        <v>(in l/...)</v>
      </c>
      <c r="R11" s="86" t="str">
        <f t="shared" si="1"/>
        <v>(in g/...)</v>
      </c>
      <c r="S11" s="86" t="str">
        <f t="shared" si="1"/>
        <v>(in g/...)</v>
      </c>
      <c r="T11" s="381" t="str">
        <f t="shared" si="1"/>
        <v>(in g/...)</v>
      </c>
    </row>
    <row r="12" spans="1:20" ht="12.75" customHeight="1" x14ac:dyDescent="0.15">
      <c r="A12" s="37">
        <v>1</v>
      </c>
      <c r="B12" s="325" t="str">
        <f>'Formulation Pre-Products'!B12</f>
        <v>water</v>
      </c>
      <c r="C12" s="120" t="str">
        <f>'Ingoing substances_DID'!G12</f>
        <v/>
      </c>
      <c r="D12" s="327" t="s">
        <v>7</v>
      </c>
      <c r="E12" s="375" t="s">
        <v>7</v>
      </c>
      <c r="F12" s="382"/>
      <c r="G12" s="160"/>
      <c r="H12" s="326" t="s">
        <v>7</v>
      </c>
      <c r="I12" s="326" t="s">
        <v>7</v>
      </c>
      <c r="J12" s="383" t="s">
        <v>7</v>
      </c>
      <c r="K12" s="382"/>
      <c r="L12" s="160"/>
      <c r="M12" s="326" t="s">
        <v>7</v>
      </c>
      <c r="N12" s="326" t="s">
        <v>7</v>
      </c>
      <c r="O12" s="383" t="s">
        <v>7</v>
      </c>
      <c r="P12" s="382"/>
      <c r="Q12" s="160"/>
      <c r="R12" s="326" t="s">
        <v>7</v>
      </c>
      <c r="S12" s="326" t="s">
        <v>7</v>
      </c>
      <c r="T12" s="383" t="s">
        <v>7</v>
      </c>
    </row>
    <row r="13" spans="1:20" x14ac:dyDescent="0.15">
      <c r="A13" s="37">
        <v>2</v>
      </c>
      <c r="B13" s="328" t="str">
        <f>IF('Ingoing substances_DID'!B13="","",'Ingoing substances_DID'!B13)</f>
        <v/>
      </c>
      <c r="C13" s="329" t="str">
        <f>IF('Ingoing substances_DID'!G13="","",'Ingoing substances_DID'!G13)</f>
        <v/>
      </c>
      <c r="D13" s="331" t="str">
        <f>IF(OR('Ingoing Substances'!Q13="N",'Ingoing substances_DID'!O13="R"),"",C13)</f>
        <v/>
      </c>
      <c r="E13" s="376" t="str">
        <f>IF(OR('Ingoing Substances'!T13="N",'Ingoing substances_DID'!P13="Y"),"",C13)</f>
        <v/>
      </c>
      <c r="F13" s="384" t="str">
        <f>IF(B13="","",C13*Product!$C$38/100)</f>
        <v/>
      </c>
      <c r="G13" s="330" t="str">
        <f>IF(B13="","",F13*'Ingoing substances_DID'!M13/'Ingoing substances_DID'!N13*1000)</f>
        <v/>
      </c>
      <c r="H13" s="332" t="str">
        <f>IF(B13="","",(IF(OR('Ingoing Substances'!O13="N",'Ingoing substances_DID'!O13="R"),"",F13)))</f>
        <v/>
      </c>
      <c r="I13" s="332" t="str">
        <f>IF(B13="","",IF(OR('Ingoing Substances'!O13="N",'Ingoing substances_DID'!Q13="Y"),"",F13))</f>
        <v/>
      </c>
      <c r="J13" s="385" t="str">
        <f>IF('Ingoing Substances'!U13="","",'Ingoing Substances'!U13*F13/100)</f>
        <v/>
      </c>
      <c r="K13" s="384" t="str">
        <f>IF(B13="","",C13*Product!$D$38/100)</f>
        <v/>
      </c>
      <c r="L13" s="330" t="str">
        <f>IF(B13="","",K13*'Ingoing substances_DID'!M13/'Ingoing substances_DID'!N13*1000)</f>
        <v/>
      </c>
      <c r="M13" s="332" t="str">
        <f>IF(B13="","",(IF(OR('Ingoing Substances'!O13="N",'Ingoing substances_DID'!O13="R"),"",K13)))</f>
        <v/>
      </c>
      <c r="N13" s="332" t="str">
        <f>IF(B13="","",IF(OR('Ingoing Substances'!O13="N",'Ingoing substances_DID'!Q13="Y"),"",K13))</f>
        <v/>
      </c>
      <c r="O13" s="385" t="str">
        <f>IF('Ingoing Substances'!U13="","",'Ingoing Substances'!U13*K13/100)</f>
        <v/>
      </c>
      <c r="P13" s="384" t="str">
        <f>IF(B13="","",C13*Product!$E$38/100)</f>
        <v/>
      </c>
      <c r="Q13" s="330" t="str">
        <f>IF(B13="","",P13*'Ingoing substances_DID'!M13/'Ingoing substances_DID'!N13*1000)</f>
        <v/>
      </c>
      <c r="R13" s="332" t="str">
        <f>IF(B13="","",(IF(OR('Ingoing Substances'!O13="N",'Ingoing substances_DID'!O13="R"),"",P13)))</f>
        <v/>
      </c>
      <c r="S13" s="332" t="str">
        <f>IF(B13="","",IF(OR('Ingoing Substances'!O13="N",'Ingoing substances_DID'!Q13="Y"),"",P13))</f>
        <v/>
      </c>
      <c r="T13" s="385" t="str">
        <f>IF('Ingoing Substances'!U13="","",'Ingoing Substances'!U13*P13/100)</f>
        <v/>
      </c>
    </row>
    <row r="14" spans="1:20" x14ac:dyDescent="0.15">
      <c r="A14" s="37">
        <v>3</v>
      </c>
      <c r="B14" s="328" t="str">
        <f>IF('Ingoing substances_DID'!B14="","",'Ingoing substances_DID'!B14)</f>
        <v/>
      </c>
      <c r="C14" s="329" t="str">
        <f>IF('Ingoing substances_DID'!G14="","",'Ingoing substances_DID'!G14)</f>
        <v/>
      </c>
      <c r="D14" s="331" t="str">
        <f>IF(OR('Ingoing Substances'!Q14="N",'Ingoing substances_DID'!O14="R"),"",C14)</f>
        <v/>
      </c>
      <c r="E14" s="376" t="str">
        <f>IF(OR('Ingoing Substances'!T14="N",'Ingoing substances_DID'!P14="Y"),"",C14)</f>
        <v/>
      </c>
      <c r="F14" s="384" t="str">
        <f>IF(B14="","",C14*Product!$C$38/100)</f>
        <v/>
      </c>
      <c r="G14" s="330" t="str">
        <f>IF(B14="","",F14*'Ingoing substances_DID'!M14/'Ingoing substances_DID'!N14*1000)</f>
        <v/>
      </c>
      <c r="H14" s="331" t="str">
        <f>IF(B14="","",(IF(OR('Ingoing Substances'!O14="N",'Ingoing substances_DID'!O14="R"),"",F14)))</f>
        <v/>
      </c>
      <c r="I14" s="331" t="str">
        <f>IF(B14="","",IF(OR('Ingoing Substances'!O14="N",'Ingoing substances_DID'!Q14="Y"),"",F14))</f>
        <v/>
      </c>
      <c r="J14" s="385" t="str">
        <f>IF('Ingoing Substances'!U14="","",'Ingoing Substances'!U14*F14/100)</f>
        <v/>
      </c>
      <c r="K14" s="384" t="str">
        <f>IF(B14="","",C14*Product!$D$38/100)</f>
        <v/>
      </c>
      <c r="L14" s="330" t="str">
        <f>IF(B14="","",K14*'Ingoing substances_DID'!M14/'Ingoing substances_DID'!N14*1000)</f>
        <v/>
      </c>
      <c r="M14" s="332" t="str">
        <f>IF(B14="","",(IF(OR('Ingoing Substances'!O14="N",'Ingoing substances_DID'!O14="R"),"",K14)))</f>
        <v/>
      </c>
      <c r="N14" s="332" t="str">
        <f>IF(B14="","",IF(OR('Ingoing Substances'!O14="N",'Ingoing substances_DID'!Q14="Y"),"",K14))</f>
        <v/>
      </c>
      <c r="O14" s="385" t="str">
        <f>IF('Ingoing Substances'!U14="","",'Ingoing Substances'!U14*K14/100)</f>
        <v/>
      </c>
      <c r="P14" s="384" t="str">
        <f>IF(B14="","",C14*Product!$E$38/100)</f>
        <v/>
      </c>
      <c r="Q14" s="330" t="str">
        <f>IF(B14="","",P14*'Ingoing substances_DID'!M14/'Ingoing substances_DID'!N14*1000)</f>
        <v/>
      </c>
      <c r="R14" s="332" t="str">
        <f>IF(B14="","",(IF(OR('Ingoing Substances'!O14="N",'Ingoing substances_DID'!O14="R"),"",P14)))</f>
        <v/>
      </c>
      <c r="S14" s="332" t="str">
        <f>IF(B14="","",IF(OR('Ingoing Substances'!O14="N",'Ingoing substances_DID'!Q14="Y"),"",P14))</f>
        <v/>
      </c>
      <c r="T14" s="385" t="str">
        <f>IF('Ingoing Substances'!U14="","",'Ingoing Substances'!U14*P14/100)</f>
        <v/>
      </c>
    </row>
    <row r="15" spans="1:20" x14ac:dyDescent="0.15">
      <c r="A15" s="37">
        <v>4</v>
      </c>
      <c r="B15" s="328" t="str">
        <f>IF('Ingoing substances_DID'!B15="","",'Ingoing substances_DID'!B15)</f>
        <v/>
      </c>
      <c r="C15" s="329" t="str">
        <f>IF('Ingoing substances_DID'!G15="","",'Ingoing substances_DID'!G15)</f>
        <v/>
      </c>
      <c r="D15" s="331" t="str">
        <f>IF(OR('Ingoing Substances'!Q15="N",'Ingoing substances_DID'!O15="R"),"",C15)</f>
        <v/>
      </c>
      <c r="E15" s="376" t="str">
        <f>IF(OR('Ingoing Substances'!T15="N",'Ingoing substances_DID'!P15="Y"),"",C15)</f>
        <v/>
      </c>
      <c r="F15" s="384" t="str">
        <f>IF(B15="","",C15*Product!$C$38/100)</f>
        <v/>
      </c>
      <c r="G15" s="330" t="str">
        <f>IF(B15="","",F15*'Ingoing substances_DID'!M15/'Ingoing substances_DID'!N15*1000)</f>
        <v/>
      </c>
      <c r="H15" s="331" t="str">
        <f>IF(B15="","",(IF(OR('Ingoing Substances'!O15="N",'Ingoing substances_DID'!O15="R"),"",F15)))</f>
        <v/>
      </c>
      <c r="I15" s="331" t="str">
        <f>IF(B15="","",IF(OR('Ingoing Substances'!O15="N",'Ingoing substances_DID'!Q15="Y"),"",F15))</f>
        <v/>
      </c>
      <c r="J15" s="385" t="str">
        <f>IF('Ingoing Substances'!U15="","",'Ingoing Substances'!U15*F15/100)</f>
        <v/>
      </c>
      <c r="K15" s="384" t="str">
        <f>IF(B15="","",C15*Product!$D$38/100)</f>
        <v/>
      </c>
      <c r="L15" s="330" t="str">
        <f>IF(B15="","",K15*'Ingoing substances_DID'!M15/'Ingoing substances_DID'!N15*1000)</f>
        <v/>
      </c>
      <c r="M15" s="332" t="str">
        <f>IF(B15="","",(IF(OR('Ingoing Substances'!O15="N",'Ingoing substances_DID'!O15="R"),"",K15)))</f>
        <v/>
      </c>
      <c r="N15" s="332" t="str">
        <f>IF(B15="","",IF(OR('Ingoing Substances'!O15="N",'Ingoing substances_DID'!Q15="Y"),"",K15))</f>
        <v/>
      </c>
      <c r="O15" s="385" t="str">
        <f>IF('Ingoing Substances'!U15="","",'Ingoing Substances'!U15*K15/100)</f>
        <v/>
      </c>
      <c r="P15" s="384" t="str">
        <f>IF(B15="","",C15*Product!$E$38/100)</f>
        <v/>
      </c>
      <c r="Q15" s="330" t="str">
        <f>IF(B15="","",P15*'Ingoing substances_DID'!M15/'Ingoing substances_DID'!N15*1000)</f>
        <v/>
      </c>
      <c r="R15" s="332" t="str">
        <f>IF(B15="","",(IF(OR('Ingoing Substances'!O15="N",'Ingoing substances_DID'!O15="R"),"",P15)))</f>
        <v/>
      </c>
      <c r="S15" s="332" t="str">
        <f>IF(B15="","",IF(OR('Ingoing Substances'!O15="N",'Ingoing substances_DID'!Q15="Y"),"",P15))</f>
        <v/>
      </c>
      <c r="T15" s="385" t="str">
        <f>IF('Ingoing Substances'!U15="","",'Ingoing Substances'!U15*P15/100)</f>
        <v/>
      </c>
    </row>
    <row r="16" spans="1:20" x14ac:dyDescent="0.15">
      <c r="A16" s="37">
        <v>5</v>
      </c>
      <c r="B16" s="328" t="str">
        <f>IF('Ingoing substances_DID'!B16="","",'Ingoing substances_DID'!B16)</f>
        <v/>
      </c>
      <c r="C16" s="329" t="str">
        <f>IF('Ingoing substances_DID'!G16="","",'Ingoing substances_DID'!G16)</f>
        <v/>
      </c>
      <c r="D16" s="331" t="str">
        <f>IF(OR('Ingoing Substances'!Q16="N",'Ingoing substances_DID'!O16="R"),"",C16)</f>
        <v/>
      </c>
      <c r="E16" s="376" t="str">
        <f>IF(OR('Ingoing Substances'!T16="N",'Ingoing substances_DID'!P16="Y"),"",C16)</f>
        <v/>
      </c>
      <c r="F16" s="384" t="str">
        <f>IF(B16="","",C16*Product!$C$38/100)</f>
        <v/>
      </c>
      <c r="G16" s="330" t="str">
        <f>IF(B16="","",F16*'Ingoing substances_DID'!M16/'Ingoing substances_DID'!N16*1000)</f>
        <v/>
      </c>
      <c r="H16" s="331" t="str">
        <f>IF(B16="","",(IF(OR('Ingoing Substances'!O16="N",'Ingoing substances_DID'!O16="R"),"",F16)))</f>
        <v/>
      </c>
      <c r="I16" s="331" t="str">
        <f>IF(B16="","",IF(OR('Ingoing Substances'!O16="N",'Ingoing substances_DID'!Q16="Y"),"",F16))</f>
        <v/>
      </c>
      <c r="J16" s="385" t="str">
        <f>IF('Ingoing Substances'!U16="","",'Ingoing Substances'!U16*F16/100)</f>
        <v/>
      </c>
      <c r="K16" s="384" t="str">
        <f>IF(B16="","",C16*Product!$D$38/100)</f>
        <v/>
      </c>
      <c r="L16" s="330" t="str">
        <f>IF(B16="","",K16*'Ingoing substances_DID'!M16/'Ingoing substances_DID'!N16*1000)</f>
        <v/>
      </c>
      <c r="M16" s="332" t="str">
        <f>IF(B16="","",(IF(OR('Ingoing Substances'!O16="N",'Ingoing substances_DID'!O16="R"),"",K16)))</f>
        <v/>
      </c>
      <c r="N16" s="332" t="str">
        <f>IF(B16="","",IF(OR('Ingoing Substances'!O16="N",'Ingoing substances_DID'!Q16="Y"),"",K16))</f>
        <v/>
      </c>
      <c r="O16" s="385" t="str">
        <f>IF('Ingoing Substances'!U16="","",'Ingoing Substances'!U16*K16/100)</f>
        <v/>
      </c>
      <c r="P16" s="384" t="str">
        <f>IF(B16="","",C16*Product!$E$38/100)</f>
        <v/>
      </c>
      <c r="Q16" s="330" t="str">
        <f>IF(B16="","",P16*'Ingoing substances_DID'!M16/'Ingoing substances_DID'!N16*1000)</f>
        <v/>
      </c>
      <c r="R16" s="332" t="str">
        <f>IF(B16="","",(IF(OR('Ingoing Substances'!O16="N",'Ingoing substances_DID'!O16="R"),"",P16)))</f>
        <v/>
      </c>
      <c r="S16" s="332" t="str">
        <f>IF(B16="","",IF(OR('Ingoing Substances'!O16="N",'Ingoing substances_DID'!Q16="Y"),"",P16))</f>
        <v/>
      </c>
      <c r="T16" s="385" t="str">
        <f>IF('Ingoing Substances'!U16="","",'Ingoing Substances'!U16*P16/100)</f>
        <v/>
      </c>
    </row>
    <row r="17" spans="1:20" x14ac:dyDescent="0.15">
      <c r="A17" s="37">
        <v>6</v>
      </c>
      <c r="B17" s="328" t="str">
        <f>IF('Ingoing substances_DID'!B17="","",'Ingoing substances_DID'!B17)</f>
        <v/>
      </c>
      <c r="C17" s="329" t="str">
        <f>IF('Ingoing substances_DID'!G17="","",'Ingoing substances_DID'!G17)</f>
        <v/>
      </c>
      <c r="D17" s="331" t="str">
        <f>IF(OR('Ingoing Substances'!Q17="N",'Ingoing substances_DID'!O17="R"),"",C17)</f>
        <v/>
      </c>
      <c r="E17" s="376" t="str">
        <f>IF(OR('Ingoing Substances'!T17="N",'Ingoing substances_DID'!P17="Y"),"",C17)</f>
        <v/>
      </c>
      <c r="F17" s="384" t="str">
        <f>IF(B17="","",C17*Product!$C$38/100)</f>
        <v/>
      </c>
      <c r="G17" s="330" t="str">
        <f>IF(B17="","",F17*'Ingoing substances_DID'!M17/'Ingoing substances_DID'!N17*1000)</f>
        <v/>
      </c>
      <c r="H17" s="331" t="str">
        <f>IF(B17="","",(IF(OR('Ingoing Substances'!O17="N",'Ingoing substances_DID'!O17="R"),"",F17)))</f>
        <v/>
      </c>
      <c r="I17" s="331" t="str">
        <f>IF(B17="","",IF(OR('Ingoing Substances'!O17="N",'Ingoing substances_DID'!Q17="Y"),"",F17))</f>
        <v/>
      </c>
      <c r="J17" s="385" t="str">
        <f>IF('Ingoing Substances'!U17="","",'Ingoing Substances'!U17*F17/100)</f>
        <v/>
      </c>
      <c r="K17" s="384" t="str">
        <f>IF(B17="","",C17*Product!$D$38/100)</f>
        <v/>
      </c>
      <c r="L17" s="330" t="str">
        <f>IF(B17="","",K17*'Ingoing substances_DID'!M17/'Ingoing substances_DID'!N17*1000)</f>
        <v/>
      </c>
      <c r="M17" s="332" t="str">
        <f>IF(B17="","",(IF(OR('Ingoing Substances'!O17="N",'Ingoing substances_DID'!O17="R"),"",K17)))</f>
        <v/>
      </c>
      <c r="N17" s="332" t="str">
        <f>IF(B17="","",IF(OR('Ingoing Substances'!O17="N",'Ingoing substances_DID'!Q17="Y"),"",K17))</f>
        <v/>
      </c>
      <c r="O17" s="385" t="str">
        <f>IF('Ingoing Substances'!U17="","",'Ingoing Substances'!U17*K17/100)</f>
        <v/>
      </c>
      <c r="P17" s="384" t="str">
        <f>IF(B17="","",C17*Product!$E$38/100)</f>
        <v/>
      </c>
      <c r="Q17" s="330" t="str">
        <f>IF(B17="","",P17*'Ingoing substances_DID'!M17/'Ingoing substances_DID'!N17*1000)</f>
        <v/>
      </c>
      <c r="R17" s="332" t="str">
        <f>IF(B17="","",(IF(OR('Ingoing Substances'!O17="N",'Ingoing substances_DID'!O17="R"),"",P17)))</f>
        <v/>
      </c>
      <c r="S17" s="332" t="str">
        <f>IF(B17="","",IF(OR('Ingoing Substances'!O17="N",'Ingoing substances_DID'!Q17="Y"),"",P17))</f>
        <v/>
      </c>
      <c r="T17" s="385" t="str">
        <f>IF('Ingoing Substances'!U17="","",'Ingoing Substances'!U17*P17/100)</f>
        <v/>
      </c>
    </row>
    <row r="18" spans="1:20" x14ac:dyDescent="0.15">
      <c r="A18" s="37">
        <v>7</v>
      </c>
      <c r="B18" s="328" t="str">
        <f>IF('Ingoing substances_DID'!B18="","",'Ingoing substances_DID'!B18)</f>
        <v/>
      </c>
      <c r="C18" s="329" t="str">
        <f>IF('Ingoing substances_DID'!G18="","",'Ingoing substances_DID'!G18)</f>
        <v/>
      </c>
      <c r="D18" s="331" t="str">
        <f>IF(OR('Ingoing Substances'!Q18="N",'Ingoing substances_DID'!O18="R"),"",C18)</f>
        <v/>
      </c>
      <c r="E18" s="376" t="str">
        <f>IF(OR('Ingoing Substances'!T18="N",'Ingoing substances_DID'!P18="Y"),"",C18)</f>
        <v/>
      </c>
      <c r="F18" s="384" t="str">
        <f>IF(B18="","",C18*Product!$C$38/100)</f>
        <v/>
      </c>
      <c r="G18" s="330" t="str">
        <f>IF(B18="","",F18*'Ingoing substances_DID'!M18/'Ingoing substances_DID'!N18*1000)</f>
        <v/>
      </c>
      <c r="H18" s="331" t="str">
        <f>IF(B18="","",(IF(OR('Ingoing Substances'!O18="N",'Ingoing substances_DID'!O18="R"),"",F18)))</f>
        <v/>
      </c>
      <c r="I18" s="331" t="str">
        <f>IF(B18="","",IF(OR('Ingoing Substances'!O18="N",'Ingoing substances_DID'!Q18="Y"),"",F18))</f>
        <v/>
      </c>
      <c r="J18" s="385" t="str">
        <f>IF('Ingoing Substances'!U18="","",'Ingoing Substances'!U18*F18/100)</f>
        <v/>
      </c>
      <c r="K18" s="384" t="str">
        <f>IF(B18="","",C18*Product!$D$38/100)</f>
        <v/>
      </c>
      <c r="L18" s="330" t="str">
        <f>IF(B18="","",K18*'Ingoing substances_DID'!M18/'Ingoing substances_DID'!N18*1000)</f>
        <v/>
      </c>
      <c r="M18" s="332" t="str">
        <f>IF(B18="","",(IF(OR('Ingoing Substances'!O18="N",'Ingoing substances_DID'!O18="R"),"",K18)))</f>
        <v/>
      </c>
      <c r="N18" s="332" t="str">
        <f>IF(B18="","",IF(OR('Ingoing Substances'!O18="N",'Ingoing substances_DID'!Q18="Y"),"",K18))</f>
        <v/>
      </c>
      <c r="O18" s="385" t="str">
        <f>IF('Ingoing Substances'!U18="","",'Ingoing Substances'!U18*K18/100)</f>
        <v/>
      </c>
      <c r="P18" s="384" t="str">
        <f>IF(B18="","",C18*Product!$E$38/100)</f>
        <v/>
      </c>
      <c r="Q18" s="330" t="str">
        <f>IF(B18="","",P18*'Ingoing substances_DID'!M18/'Ingoing substances_DID'!N18*1000)</f>
        <v/>
      </c>
      <c r="R18" s="332" t="str">
        <f>IF(B18="","",(IF(OR('Ingoing Substances'!O18="N",'Ingoing substances_DID'!O18="R"),"",P18)))</f>
        <v/>
      </c>
      <c r="S18" s="332" t="str">
        <f>IF(B18="","",IF(OR('Ingoing Substances'!O18="N",'Ingoing substances_DID'!Q18="Y"),"",P18))</f>
        <v/>
      </c>
      <c r="T18" s="385" t="str">
        <f>IF('Ingoing Substances'!U18="","",'Ingoing Substances'!U18*P18/100)</f>
        <v/>
      </c>
    </row>
    <row r="19" spans="1:20" x14ac:dyDescent="0.15">
      <c r="A19" s="37">
        <v>8</v>
      </c>
      <c r="B19" s="328" t="str">
        <f>IF('Ingoing substances_DID'!B19="","",'Ingoing substances_DID'!B19)</f>
        <v/>
      </c>
      <c r="C19" s="329" t="str">
        <f>IF('Ingoing substances_DID'!G19="","",'Ingoing substances_DID'!G19)</f>
        <v/>
      </c>
      <c r="D19" s="331" t="str">
        <f>IF(OR('Ingoing Substances'!Q19="N",'Ingoing substances_DID'!O19="R"),"",C19)</f>
        <v/>
      </c>
      <c r="E19" s="376" t="str">
        <f>IF(OR('Ingoing Substances'!T19="N",'Ingoing substances_DID'!P19="Y"),"",C19)</f>
        <v/>
      </c>
      <c r="F19" s="384" t="str">
        <f>IF(B19="","",C19*Product!$C$38/100)</f>
        <v/>
      </c>
      <c r="G19" s="330" t="str">
        <f>IF(B19="","",F19*'Ingoing substances_DID'!M19/'Ingoing substances_DID'!N19*1000)</f>
        <v/>
      </c>
      <c r="H19" s="331" t="str">
        <f>IF(B19="","",(IF(OR('Ingoing Substances'!O19="N",'Ingoing substances_DID'!O19="R"),"",F19)))</f>
        <v/>
      </c>
      <c r="I19" s="331" t="str">
        <f>IF(B19="","",IF(OR('Ingoing Substances'!O19="N",'Ingoing substances_DID'!Q19="Y"),"",F19))</f>
        <v/>
      </c>
      <c r="J19" s="385" t="str">
        <f>IF('Ingoing Substances'!U19="","",'Ingoing Substances'!U19*F19/100)</f>
        <v/>
      </c>
      <c r="K19" s="384" t="str">
        <f>IF(B19="","",C19*Product!$D$38/100)</f>
        <v/>
      </c>
      <c r="L19" s="330" t="str">
        <f>IF(B19="","",K19*'Ingoing substances_DID'!M19/'Ingoing substances_DID'!N19*1000)</f>
        <v/>
      </c>
      <c r="M19" s="332" t="str">
        <f>IF(B19="","",(IF(OR('Ingoing Substances'!O19="N",'Ingoing substances_DID'!O19="R"),"",K19)))</f>
        <v/>
      </c>
      <c r="N19" s="332" t="str">
        <f>IF(B19="","",IF(OR('Ingoing Substances'!O19="N",'Ingoing substances_DID'!Q19="Y"),"",K19))</f>
        <v/>
      </c>
      <c r="O19" s="385" t="str">
        <f>IF('Ingoing Substances'!U19="","",'Ingoing Substances'!U19*K19/100)</f>
        <v/>
      </c>
      <c r="P19" s="384" t="str">
        <f>IF(B19="","",C19*Product!$E$38/100)</f>
        <v/>
      </c>
      <c r="Q19" s="330" t="str">
        <f>IF(B19="","",P19*'Ingoing substances_DID'!M19/'Ingoing substances_DID'!N19*1000)</f>
        <v/>
      </c>
      <c r="R19" s="332" t="str">
        <f>IF(B19="","",(IF(OR('Ingoing Substances'!O19="N",'Ingoing substances_DID'!O19="R"),"",P19)))</f>
        <v/>
      </c>
      <c r="S19" s="332" t="str">
        <f>IF(B19="","",IF(OR('Ingoing Substances'!O19="N",'Ingoing substances_DID'!Q19="Y"),"",P19))</f>
        <v/>
      </c>
      <c r="T19" s="385" t="str">
        <f>IF('Ingoing Substances'!U19="","",'Ingoing Substances'!U19*P19/100)</f>
        <v/>
      </c>
    </row>
    <row r="20" spans="1:20" x14ac:dyDescent="0.15">
      <c r="A20" s="37">
        <v>9</v>
      </c>
      <c r="B20" s="328" t="str">
        <f>IF('Ingoing substances_DID'!B20="","",'Ingoing substances_DID'!B20)</f>
        <v/>
      </c>
      <c r="C20" s="329" t="str">
        <f>IF('Ingoing substances_DID'!G20="","",'Ingoing substances_DID'!G20)</f>
        <v/>
      </c>
      <c r="D20" s="331" t="str">
        <f>IF(OR('Ingoing Substances'!Q20="N",'Ingoing substances_DID'!O20="R"),"",C20)</f>
        <v/>
      </c>
      <c r="E20" s="376" t="str">
        <f>IF(OR('Ingoing Substances'!T20="N",'Ingoing substances_DID'!P20="Y"),"",C20)</f>
        <v/>
      </c>
      <c r="F20" s="384" t="str">
        <f>IF(B20="","",C20*Product!$C$38/100)</f>
        <v/>
      </c>
      <c r="G20" s="330" t="str">
        <f>IF(B20="","",F20*'Ingoing substances_DID'!M20/'Ingoing substances_DID'!N20*1000)</f>
        <v/>
      </c>
      <c r="H20" s="331" t="str">
        <f>IF(B20="","",(IF(OR('Ingoing Substances'!O20="N",'Ingoing substances_DID'!O20="R"),"",F20)))</f>
        <v/>
      </c>
      <c r="I20" s="331" t="str">
        <f>IF(B20="","",IF(OR('Ingoing Substances'!O20="N",'Ingoing substances_DID'!Q20="Y"),"",F20))</f>
        <v/>
      </c>
      <c r="J20" s="385" t="str">
        <f>IF('Ingoing Substances'!U20="","",'Ingoing Substances'!U20*F20/100)</f>
        <v/>
      </c>
      <c r="K20" s="384" t="str">
        <f>IF(B20="","",C20*Product!$D$38/100)</f>
        <v/>
      </c>
      <c r="L20" s="330" t="str">
        <f>IF(B20="","",K20*'Ingoing substances_DID'!M20/'Ingoing substances_DID'!N20*1000)</f>
        <v/>
      </c>
      <c r="M20" s="332" t="str">
        <f>IF(B20="","",(IF(OR('Ingoing Substances'!O20="N",'Ingoing substances_DID'!O20="R"),"",K20)))</f>
        <v/>
      </c>
      <c r="N20" s="332" t="str">
        <f>IF(B20="","",IF(OR('Ingoing Substances'!O20="N",'Ingoing substances_DID'!Q20="Y"),"",K20))</f>
        <v/>
      </c>
      <c r="O20" s="385" t="str">
        <f>IF('Ingoing Substances'!U20="","",'Ingoing Substances'!U20*K20/100)</f>
        <v/>
      </c>
      <c r="P20" s="384" t="str">
        <f>IF(B20="","",C20*Product!$E$38/100)</f>
        <v/>
      </c>
      <c r="Q20" s="330" t="str">
        <f>IF(B20="","",P20*'Ingoing substances_DID'!M20/'Ingoing substances_DID'!N20*1000)</f>
        <v/>
      </c>
      <c r="R20" s="332" t="str">
        <f>IF(B20="","",(IF(OR('Ingoing Substances'!O20="N",'Ingoing substances_DID'!O20="R"),"",P20)))</f>
        <v/>
      </c>
      <c r="S20" s="332" t="str">
        <f>IF(B20="","",IF(OR('Ingoing Substances'!O20="N",'Ingoing substances_DID'!Q20="Y"),"",P20))</f>
        <v/>
      </c>
      <c r="T20" s="385" t="str">
        <f>IF('Ingoing Substances'!U20="","",'Ingoing Substances'!U20*P20/100)</f>
        <v/>
      </c>
    </row>
    <row r="21" spans="1:20" x14ac:dyDescent="0.15">
      <c r="A21" s="37">
        <v>10</v>
      </c>
      <c r="B21" s="328" t="str">
        <f>IF('Ingoing substances_DID'!B21="","",'Ingoing substances_DID'!B21)</f>
        <v/>
      </c>
      <c r="C21" s="329" t="str">
        <f>IF('Ingoing substances_DID'!G21="","",'Ingoing substances_DID'!G21)</f>
        <v/>
      </c>
      <c r="D21" s="331" t="str">
        <f>IF(OR('Ingoing Substances'!Q21="N",'Ingoing substances_DID'!O21="R"),"",C21)</f>
        <v/>
      </c>
      <c r="E21" s="376" t="str">
        <f>IF(OR('Ingoing Substances'!T21="N",'Ingoing substances_DID'!P21="Y"),"",C21)</f>
        <v/>
      </c>
      <c r="F21" s="384" t="str">
        <f>IF(B21="","",C21*Product!$C$38/100)</f>
        <v/>
      </c>
      <c r="G21" s="330" t="str">
        <f>IF(B21="","",F21*'Ingoing substances_DID'!M21/'Ingoing substances_DID'!N21*1000)</f>
        <v/>
      </c>
      <c r="H21" s="331" t="str">
        <f>IF(B21="","",(IF(OR('Ingoing Substances'!O21="N",'Ingoing substances_DID'!O21="R"),"",F21)))</f>
        <v/>
      </c>
      <c r="I21" s="331" t="str">
        <f>IF(B21="","",IF(OR('Ingoing Substances'!O21="N",'Ingoing substances_DID'!Q21="Y"),"",F21))</f>
        <v/>
      </c>
      <c r="J21" s="385" t="str">
        <f>IF('Ingoing Substances'!U21="","",'Ingoing Substances'!U21*F21/100)</f>
        <v/>
      </c>
      <c r="K21" s="384" t="str">
        <f>IF(B21="","",C21*Product!$D$38/100)</f>
        <v/>
      </c>
      <c r="L21" s="330" t="str">
        <f>IF(B21="","",K21*'Ingoing substances_DID'!M21/'Ingoing substances_DID'!N21*1000)</f>
        <v/>
      </c>
      <c r="M21" s="332" t="str">
        <f>IF(B21="","",(IF(OR('Ingoing Substances'!O21="N",'Ingoing substances_DID'!O21="R"),"",K21)))</f>
        <v/>
      </c>
      <c r="N21" s="332" t="str">
        <f>IF(B21="","",IF(OR('Ingoing Substances'!O21="N",'Ingoing substances_DID'!Q21="Y"),"",K21))</f>
        <v/>
      </c>
      <c r="O21" s="385" t="str">
        <f>IF('Ingoing Substances'!U21="","",'Ingoing Substances'!U21*K21/100)</f>
        <v/>
      </c>
      <c r="P21" s="384" t="str">
        <f>IF(B21="","",C21*Product!$E$38/100)</f>
        <v/>
      </c>
      <c r="Q21" s="330" t="str">
        <f>IF(B21="","",P21*'Ingoing substances_DID'!M21/'Ingoing substances_DID'!N21*1000)</f>
        <v/>
      </c>
      <c r="R21" s="332" t="str">
        <f>IF(B21="","",(IF(OR('Ingoing Substances'!O21="N",'Ingoing substances_DID'!O21="R"),"",P21)))</f>
        <v/>
      </c>
      <c r="S21" s="332" t="str">
        <f>IF(B21="","",IF(OR('Ingoing Substances'!O21="N",'Ingoing substances_DID'!Q21="Y"),"",P21))</f>
        <v/>
      </c>
      <c r="T21" s="385" t="str">
        <f>IF('Ingoing Substances'!U21="","",'Ingoing Substances'!U21*P21/100)</f>
        <v/>
      </c>
    </row>
    <row r="22" spans="1:20" x14ac:dyDescent="0.15">
      <c r="A22" s="37">
        <v>11</v>
      </c>
      <c r="B22" s="328" t="str">
        <f>IF('Ingoing substances_DID'!B22="","",'Ingoing substances_DID'!B22)</f>
        <v/>
      </c>
      <c r="C22" s="329" t="str">
        <f>IF('Ingoing substances_DID'!G22="","",'Ingoing substances_DID'!G22)</f>
        <v/>
      </c>
      <c r="D22" s="331" t="str">
        <f>IF(OR('Ingoing Substances'!Q22="N",'Ingoing substances_DID'!O22="R"),"",C22)</f>
        <v/>
      </c>
      <c r="E22" s="376" t="str">
        <f>IF(OR('Ingoing Substances'!T22="N",'Ingoing substances_DID'!P22="Y"),"",C22)</f>
        <v/>
      </c>
      <c r="F22" s="384" t="str">
        <f>IF(B22="","",C22*Product!$C$38/100)</f>
        <v/>
      </c>
      <c r="G22" s="330" t="str">
        <f>IF(B22="","",F22*'Ingoing substances_DID'!M22/'Ingoing substances_DID'!N22*1000)</f>
        <v/>
      </c>
      <c r="H22" s="331" t="str">
        <f>IF(B22="","",(IF(OR('Ingoing Substances'!O22="N",'Ingoing substances_DID'!O22="R"),"",F22)))</f>
        <v/>
      </c>
      <c r="I22" s="331" t="str">
        <f>IF(B22="","",IF(OR('Ingoing Substances'!O22="N",'Ingoing substances_DID'!Q22="Y"),"",F22))</f>
        <v/>
      </c>
      <c r="J22" s="385" t="str">
        <f>IF('Ingoing Substances'!U22="","",'Ingoing Substances'!U22*F22/100)</f>
        <v/>
      </c>
      <c r="K22" s="384" t="str">
        <f>IF(B22="","",C22*Product!$D$38/100)</f>
        <v/>
      </c>
      <c r="L22" s="330" t="str">
        <f>IF(B22="","",K22*'Ingoing substances_DID'!M22/'Ingoing substances_DID'!N22*1000)</f>
        <v/>
      </c>
      <c r="M22" s="332" t="str">
        <f>IF(B22="","",(IF(OR('Ingoing Substances'!O22="N",'Ingoing substances_DID'!O22="R"),"",K22)))</f>
        <v/>
      </c>
      <c r="N22" s="332" t="str">
        <f>IF(B22="","",IF(OR('Ingoing Substances'!O22="N",'Ingoing substances_DID'!Q22="Y"),"",K22))</f>
        <v/>
      </c>
      <c r="O22" s="385" t="str">
        <f>IF('Ingoing Substances'!U22="","",'Ingoing Substances'!U22*K22/100)</f>
        <v/>
      </c>
      <c r="P22" s="384" t="str">
        <f>IF(B22="","",C22*Product!$E$38/100)</f>
        <v/>
      </c>
      <c r="Q22" s="330" t="str">
        <f>IF(B22="","",P22*'Ingoing substances_DID'!M22/'Ingoing substances_DID'!N22*1000)</f>
        <v/>
      </c>
      <c r="R22" s="332" t="str">
        <f>IF(B22="","",(IF(OR('Ingoing Substances'!O22="N",'Ingoing substances_DID'!O22="R"),"",P22)))</f>
        <v/>
      </c>
      <c r="S22" s="332" t="str">
        <f>IF(B22="","",IF(OR('Ingoing Substances'!O22="N",'Ingoing substances_DID'!Q22="Y"),"",P22))</f>
        <v/>
      </c>
      <c r="T22" s="385" t="str">
        <f>IF('Ingoing Substances'!U22="","",'Ingoing Substances'!U22*P22/100)</f>
        <v/>
      </c>
    </row>
    <row r="23" spans="1:20" x14ac:dyDescent="0.15">
      <c r="A23" s="37">
        <v>12</v>
      </c>
      <c r="B23" s="328" t="str">
        <f>IF('Ingoing substances_DID'!B23="","",'Ingoing substances_DID'!B23)</f>
        <v/>
      </c>
      <c r="C23" s="329" t="str">
        <f>IF('Ingoing substances_DID'!G23="","",'Ingoing substances_DID'!G23)</f>
        <v/>
      </c>
      <c r="D23" s="331" t="str">
        <f>IF(OR('Ingoing Substances'!Q23="N",'Ingoing substances_DID'!O23="R"),"",C23)</f>
        <v/>
      </c>
      <c r="E23" s="376" t="str">
        <f>IF(OR('Ingoing Substances'!T23="N",'Ingoing substances_DID'!P23="Y"),"",C23)</f>
        <v/>
      </c>
      <c r="F23" s="384" t="str">
        <f>IF(B23="","",C23*Product!$C$38/100)</f>
        <v/>
      </c>
      <c r="G23" s="330" t="str">
        <f>IF(B23="","",F23*'Ingoing substances_DID'!M23/'Ingoing substances_DID'!N23*1000)</f>
        <v/>
      </c>
      <c r="H23" s="331" t="str">
        <f>IF(B23="","",(IF(OR('Ingoing Substances'!O23="N",'Ingoing substances_DID'!O23="R"),"",F23)))</f>
        <v/>
      </c>
      <c r="I23" s="331" t="str">
        <f>IF(B23="","",IF(OR('Ingoing Substances'!O23="N",'Ingoing substances_DID'!Q23="Y"),"",F23))</f>
        <v/>
      </c>
      <c r="J23" s="385" t="str">
        <f>IF('Ingoing Substances'!U23="","",'Ingoing Substances'!U23*F23/100)</f>
        <v/>
      </c>
      <c r="K23" s="384" t="str">
        <f>IF(B23="","",C23*Product!$D$38/100)</f>
        <v/>
      </c>
      <c r="L23" s="330" t="str">
        <f>IF(B23="","",K23*'Ingoing substances_DID'!M23/'Ingoing substances_DID'!N23*1000)</f>
        <v/>
      </c>
      <c r="M23" s="332" t="str">
        <f>IF(B23="","",(IF(OR('Ingoing Substances'!O23="N",'Ingoing substances_DID'!O23="R"),"",K23)))</f>
        <v/>
      </c>
      <c r="N23" s="332" t="str">
        <f>IF(B23="","",IF(OR('Ingoing Substances'!O23="N",'Ingoing substances_DID'!Q23="Y"),"",K23))</f>
        <v/>
      </c>
      <c r="O23" s="385" t="str">
        <f>IF('Ingoing Substances'!U23="","",'Ingoing Substances'!U23*K23/100)</f>
        <v/>
      </c>
      <c r="P23" s="384" t="str">
        <f>IF(B23="","",C23*Product!$E$38/100)</f>
        <v/>
      </c>
      <c r="Q23" s="330" t="str">
        <f>IF(B23="","",P23*'Ingoing substances_DID'!M23/'Ingoing substances_DID'!N23*1000)</f>
        <v/>
      </c>
      <c r="R23" s="332" t="str">
        <f>IF(B23="","",(IF(OR('Ingoing Substances'!O23="N",'Ingoing substances_DID'!O23="R"),"",P23)))</f>
        <v/>
      </c>
      <c r="S23" s="332" t="str">
        <f>IF(B23="","",IF(OR('Ingoing Substances'!O23="N",'Ingoing substances_DID'!Q23="Y"),"",P23))</f>
        <v/>
      </c>
      <c r="T23" s="385" t="str">
        <f>IF('Ingoing Substances'!U23="","",'Ingoing Substances'!U23*P23/100)</f>
        <v/>
      </c>
    </row>
    <row r="24" spans="1:20" x14ac:dyDescent="0.15">
      <c r="A24" s="37">
        <v>13</v>
      </c>
      <c r="B24" s="328" t="str">
        <f>IF('Ingoing substances_DID'!B24="","",'Ingoing substances_DID'!B24)</f>
        <v/>
      </c>
      <c r="C24" s="329" t="str">
        <f>IF('Ingoing substances_DID'!G24="","",'Ingoing substances_DID'!G24)</f>
        <v/>
      </c>
      <c r="D24" s="331" t="str">
        <f>IF(OR('Ingoing Substances'!Q24="N",'Ingoing substances_DID'!O24="R"),"",C24)</f>
        <v/>
      </c>
      <c r="E24" s="376" t="str">
        <f>IF(OR('Ingoing Substances'!T24="N",'Ingoing substances_DID'!P24="Y"),"",C24)</f>
        <v/>
      </c>
      <c r="F24" s="384" t="str">
        <f>IF(B24="","",C24*Product!$C$38/100)</f>
        <v/>
      </c>
      <c r="G24" s="330" t="str">
        <f>IF(B24="","",F24*'Ingoing substances_DID'!M24/'Ingoing substances_DID'!N24*1000)</f>
        <v/>
      </c>
      <c r="H24" s="331" t="str">
        <f>IF(B24="","",(IF(OR('Ingoing Substances'!O24="N",'Ingoing substances_DID'!O24="R"),"",F24)))</f>
        <v/>
      </c>
      <c r="I24" s="331" t="str">
        <f>IF(B24="","",IF(OR('Ingoing Substances'!O24="N",'Ingoing substances_DID'!Q24="Y"),"",F24))</f>
        <v/>
      </c>
      <c r="J24" s="385" t="str">
        <f>IF('Ingoing Substances'!U24="","",'Ingoing Substances'!U24*F24/100)</f>
        <v/>
      </c>
      <c r="K24" s="384" t="str">
        <f>IF(B24="","",C24*Product!$D$38/100)</f>
        <v/>
      </c>
      <c r="L24" s="330" t="str">
        <f>IF(B24="","",K24*'Ingoing substances_DID'!M24/'Ingoing substances_DID'!N24*1000)</f>
        <v/>
      </c>
      <c r="M24" s="332" t="str">
        <f>IF(B24="","",(IF(OR('Ingoing Substances'!O24="N",'Ingoing substances_DID'!O24="R"),"",K24)))</f>
        <v/>
      </c>
      <c r="N24" s="332" t="str">
        <f>IF(B24="","",IF(OR('Ingoing Substances'!O24="N",'Ingoing substances_DID'!Q24="Y"),"",K24))</f>
        <v/>
      </c>
      <c r="O24" s="385" t="str">
        <f>IF('Ingoing Substances'!U24="","",'Ingoing Substances'!U24*K24/100)</f>
        <v/>
      </c>
      <c r="P24" s="384" t="str">
        <f>IF(B24="","",C24*Product!$E$38/100)</f>
        <v/>
      </c>
      <c r="Q24" s="330" t="str">
        <f>IF(B24="","",P24*'Ingoing substances_DID'!M24/'Ingoing substances_DID'!N24*1000)</f>
        <v/>
      </c>
      <c r="R24" s="332" t="str">
        <f>IF(B24="","",(IF(OR('Ingoing Substances'!O24="N",'Ingoing substances_DID'!O24="R"),"",P24)))</f>
        <v/>
      </c>
      <c r="S24" s="332" t="str">
        <f>IF(B24="","",IF(OR('Ingoing Substances'!O24="N",'Ingoing substances_DID'!Q24="Y"),"",P24))</f>
        <v/>
      </c>
      <c r="T24" s="385" t="str">
        <f>IF('Ingoing Substances'!U24="","",'Ingoing Substances'!U24*P24/100)</f>
        <v/>
      </c>
    </row>
    <row r="25" spans="1:20" x14ac:dyDescent="0.15">
      <c r="A25" s="37">
        <v>14</v>
      </c>
      <c r="B25" s="328" t="str">
        <f>IF('Ingoing substances_DID'!B25="","",'Ingoing substances_DID'!B25)</f>
        <v/>
      </c>
      <c r="C25" s="329" t="str">
        <f>IF('Ingoing substances_DID'!G25="","",'Ingoing substances_DID'!G25)</f>
        <v/>
      </c>
      <c r="D25" s="331" t="str">
        <f>IF(OR('Ingoing Substances'!Q25="N",'Ingoing substances_DID'!O25="R"),"",C25)</f>
        <v/>
      </c>
      <c r="E25" s="376" t="str">
        <f>IF(OR('Ingoing Substances'!T25="N",'Ingoing substances_DID'!P25="Y"),"",C25)</f>
        <v/>
      </c>
      <c r="F25" s="384" t="str">
        <f>IF(B25="","",C25*Product!$C$38/100)</f>
        <v/>
      </c>
      <c r="G25" s="330" t="str">
        <f>IF(B25="","",F25*'Ingoing substances_DID'!M25/'Ingoing substances_DID'!N25*1000)</f>
        <v/>
      </c>
      <c r="H25" s="331" t="str">
        <f>IF(B25="","",(IF(OR('Ingoing Substances'!O25="N",'Ingoing substances_DID'!O25="R"),"",F25)))</f>
        <v/>
      </c>
      <c r="I25" s="331" t="str">
        <f>IF(B25="","",IF(OR('Ingoing Substances'!O25="N",'Ingoing substances_DID'!Q25="Y"),"",F25))</f>
        <v/>
      </c>
      <c r="J25" s="385" t="str">
        <f>IF('Ingoing Substances'!U25="","",'Ingoing Substances'!U25*F25/100)</f>
        <v/>
      </c>
      <c r="K25" s="384" t="str">
        <f>IF(B25="","",C25*Product!$D$38/100)</f>
        <v/>
      </c>
      <c r="L25" s="330" t="str">
        <f>IF(B25="","",K25*'Ingoing substances_DID'!M25/'Ingoing substances_DID'!N25*1000)</f>
        <v/>
      </c>
      <c r="M25" s="332" t="str">
        <f>IF(B25="","",(IF(OR('Ingoing Substances'!O25="N",'Ingoing substances_DID'!O25="R"),"",K25)))</f>
        <v/>
      </c>
      <c r="N25" s="332" t="str">
        <f>IF(B25="","",IF(OR('Ingoing Substances'!O25="N",'Ingoing substances_DID'!Q25="Y"),"",K25))</f>
        <v/>
      </c>
      <c r="O25" s="385" t="str">
        <f>IF('Ingoing Substances'!U25="","",'Ingoing Substances'!U25*K25/100)</f>
        <v/>
      </c>
      <c r="P25" s="384" t="str">
        <f>IF(B25="","",C25*Product!$E$38/100)</f>
        <v/>
      </c>
      <c r="Q25" s="330" t="str">
        <f>IF(B25="","",P25*'Ingoing substances_DID'!M25/'Ingoing substances_DID'!N25*1000)</f>
        <v/>
      </c>
      <c r="R25" s="332" t="str">
        <f>IF(B25="","",(IF(OR('Ingoing Substances'!O25="N",'Ingoing substances_DID'!O25="R"),"",P25)))</f>
        <v/>
      </c>
      <c r="S25" s="332" t="str">
        <f>IF(B25="","",IF(OR('Ingoing Substances'!O25="N",'Ingoing substances_DID'!Q25="Y"),"",P25))</f>
        <v/>
      </c>
      <c r="T25" s="385" t="str">
        <f>IF('Ingoing Substances'!U25="","",'Ingoing Substances'!U25*P25/100)</f>
        <v/>
      </c>
    </row>
    <row r="26" spans="1:20" x14ac:dyDescent="0.15">
      <c r="A26" s="37">
        <v>15</v>
      </c>
      <c r="B26" s="328" t="str">
        <f>IF('Ingoing substances_DID'!B26="","",'Ingoing substances_DID'!B26)</f>
        <v/>
      </c>
      <c r="C26" s="329" t="str">
        <f>IF('Ingoing substances_DID'!G26="","",'Ingoing substances_DID'!G26)</f>
        <v/>
      </c>
      <c r="D26" s="331" t="str">
        <f>IF(OR('Ingoing Substances'!Q26="N",'Ingoing substances_DID'!O26="R"),"",C26)</f>
        <v/>
      </c>
      <c r="E26" s="376" t="str">
        <f>IF(OR('Ingoing Substances'!T26="N",'Ingoing substances_DID'!P26="Y"),"",C26)</f>
        <v/>
      </c>
      <c r="F26" s="384" t="str">
        <f>IF(B26="","",C26*Product!$C$38/100)</f>
        <v/>
      </c>
      <c r="G26" s="330" t="str">
        <f>IF(B26="","",F26*'Ingoing substances_DID'!M26/'Ingoing substances_DID'!N26*1000)</f>
        <v/>
      </c>
      <c r="H26" s="331" t="str">
        <f>IF(B26="","",(IF(OR('Ingoing Substances'!O26="N",'Ingoing substances_DID'!O26="R"),"",F26)))</f>
        <v/>
      </c>
      <c r="I26" s="331" t="str">
        <f>IF(B26="","",IF(OR('Ingoing Substances'!O26="N",'Ingoing substances_DID'!Q26="Y"),"",F26))</f>
        <v/>
      </c>
      <c r="J26" s="385" t="str">
        <f>IF('Ingoing Substances'!U26="","",'Ingoing Substances'!U26*F26/100)</f>
        <v/>
      </c>
      <c r="K26" s="384" t="str">
        <f>IF(B26="","",C26*Product!$D$38/100)</f>
        <v/>
      </c>
      <c r="L26" s="330" t="str">
        <f>IF(B26="","",K26*'Ingoing substances_DID'!M26/'Ingoing substances_DID'!N26*1000)</f>
        <v/>
      </c>
      <c r="M26" s="332" t="str">
        <f>IF(B26="","",(IF(OR('Ingoing Substances'!O26="N",'Ingoing substances_DID'!O26="R"),"",K26)))</f>
        <v/>
      </c>
      <c r="N26" s="332" t="str">
        <f>IF(B26="","",IF(OR('Ingoing Substances'!O26="N",'Ingoing substances_DID'!Q26="Y"),"",K26))</f>
        <v/>
      </c>
      <c r="O26" s="385" t="str">
        <f>IF('Ingoing Substances'!U26="","",'Ingoing Substances'!U26*K26/100)</f>
        <v/>
      </c>
      <c r="P26" s="384" t="str">
        <f>IF(B26="","",C26*Product!$E$38/100)</f>
        <v/>
      </c>
      <c r="Q26" s="330" t="str">
        <f>IF(B26="","",P26*'Ingoing substances_DID'!M26/'Ingoing substances_DID'!N26*1000)</f>
        <v/>
      </c>
      <c r="R26" s="332" t="str">
        <f>IF(B26="","",(IF(OR('Ingoing Substances'!O26="N",'Ingoing substances_DID'!O26="R"),"",P26)))</f>
        <v/>
      </c>
      <c r="S26" s="332" t="str">
        <f>IF(B26="","",IF(OR('Ingoing Substances'!O26="N",'Ingoing substances_DID'!Q26="Y"),"",P26))</f>
        <v/>
      </c>
      <c r="T26" s="385" t="str">
        <f>IF('Ingoing Substances'!U26="","",'Ingoing Substances'!U26*P26/100)</f>
        <v/>
      </c>
    </row>
    <row r="27" spans="1:20" x14ac:dyDescent="0.15">
      <c r="A27" s="37">
        <v>16</v>
      </c>
      <c r="B27" s="328" t="str">
        <f>IF('Ingoing substances_DID'!B27="","",'Ingoing substances_DID'!B27)</f>
        <v/>
      </c>
      <c r="C27" s="329" t="str">
        <f>IF('Ingoing substances_DID'!G27="","",'Ingoing substances_DID'!G27)</f>
        <v/>
      </c>
      <c r="D27" s="331" t="str">
        <f>IF(OR('Ingoing Substances'!Q27="N",'Ingoing substances_DID'!O27="R"),"",C27)</f>
        <v/>
      </c>
      <c r="E27" s="376" t="str">
        <f>IF(OR('Ingoing Substances'!T27="N",'Ingoing substances_DID'!P27="Y"),"",C27)</f>
        <v/>
      </c>
      <c r="F27" s="384" t="str">
        <f>IF(B27="","",C27*Product!$C$38/100)</f>
        <v/>
      </c>
      <c r="G27" s="330" t="str">
        <f>IF(B27="","",F27*'Ingoing substances_DID'!M27/'Ingoing substances_DID'!N27*1000)</f>
        <v/>
      </c>
      <c r="H27" s="331" t="str">
        <f>IF(B27="","",(IF(OR('Ingoing Substances'!O27="N",'Ingoing substances_DID'!O27="R"),"",F27)))</f>
        <v/>
      </c>
      <c r="I27" s="331" t="str">
        <f>IF(B27="","",IF(OR('Ingoing Substances'!O27="N",'Ingoing substances_DID'!Q27="Y"),"",F27))</f>
        <v/>
      </c>
      <c r="J27" s="385" t="str">
        <f>IF('Ingoing Substances'!U27="","",'Ingoing Substances'!U27*F27/100)</f>
        <v/>
      </c>
      <c r="K27" s="384" t="str">
        <f>IF(B27="","",C27*Product!$D$38/100)</f>
        <v/>
      </c>
      <c r="L27" s="330" t="str">
        <f>IF(B27="","",K27*'Ingoing substances_DID'!M27/'Ingoing substances_DID'!N27*1000)</f>
        <v/>
      </c>
      <c r="M27" s="332" t="str">
        <f>IF(B27="","",(IF(OR('Ingoing Substances'!O27="N",'Ingoing substances_DID'!O27="R"),"",K27)))</f>
        <v/>
      </c>
      <c r="N27" s="332" t="str">
        <f>IF(B27="","",IF(OR('Ingoing Substances'!O27="N",'Ingoing substances_DID'!Q27="Y"),"",K27))</f>
        <v/>
      </c>
      <c r="O27" s="385" t="str">
        <f>IF('Ingoing Substances'!U27="","",'Ingoing Substances'!U27*K27/100)</f>
        <v/>
      </c>
      <c r="P27" s="384" t="str">
        <f>IF(B27="","",C27*Product!$E$38/100)</f>
        <v/>
      </c>
      <c r="Q27" s="330" t="str">
        <f>IF(B27="","",P27*'Ingoing substances_DID'!M27/'Ingoing substances_DID'!N27*1000)</f>
        <v/>
      </c>
      <c r="R27" s="332" t="str">
        <f>IF(B27="","",(IF(OR('Ingoing Substances'!O27="N",'Ingoing substances_DID'!O27="R"),"",P27)))</f>
        <v/>
      </c>
      <c r="S27" s="332" t="str">
        <f>IF(B27="","",IF(OR('Ingoing Substances'!O27="N",'Ingoing substances_DID'!Q27="Y"),"",P27))</f>
        <v/>
      </c>
      <c r="T27" s="385" t="str">
        <f>IF('Ingoing Substances'!U27="","",'Ingoing Substances'!U27*P27/100)</f>
        <v/>
      </c>
    </row>
    <row r="28" spans="1:20" x14ac:dyDescent="0.15">
      <c r="A28" s="37">
        <v>17</v>
      </c>
      <c r="B28" s="328" t="str">
        <f>IF('Ingoing substances_DID'!B28="","",'Ingoing substances_DID'!B28)</f>
        <v/>
      </c>
      <c r="C28" s="329" t="str">
        <f>IF('Ingoing substances_DID'!G28="","",'Ingoing substances_DID'!G28)</f>
        <v/>
      </c>
      <c r="D28" s="331" t="str">
        <f>IF(OR('Ingoing Substances'!Q28="N",'Ingoing substances_DID'!O28="R"),"",C28)</f>
        <v/>
      </c>
      <c r="E28" s="376" t="str">
        <f>IF(OR('Ingoing Substances'!T28="N",'Ingoing substances_DID'!P28="Y"),"",C28)</f>
        <v/>
      </c>
      <c r="F28" s="384" t="str">
        <f>IF(B28="","",C28*Product!$C$38/100)</f>
        <v/>
      </c>
      <c r="G28" s="330" t="str">
        <f>IF(B28="","",F28*'Ingoing substances_DID'!M28/'Ingoing substances_DID'!N28*1000)</f>
        <v/>
      </c>
      <c r="H28" s="331" t="str">
        <f>IF(B28="","",(IF(OR('Ingoing Substances'!O28="N",'Ingoing substances_DID'!O28="R"),"",F28)))</f>
        <v/>
      </c>
      <c r="I28" s="331" t="str">
        <f>IF(B28="","",IF(OR('Ingoing Substances'!O28="N",'Ingoing substances_DID'!Q28="Y"),"",F28))</f>
        <v/>
      </c>
      <c r="J28" s="385" t="str">
        <f>IF('Ingoing Substances'!U28="","",'Ingoing Substances'!U28*F28/100)</f>
        <v/>
      </c>
      <c r="K28" s="384" t="str">
        <f>IF(B28="","",C28*Product!$D$38/100)</f>
        <v/>
      </c>
      <c r="L28" s="330" t="str">
        <f>IF(B28="","",K28*'Ingoing substances_DID'!M28/'Ingoing substances_DID'!N28*1000)</f>
        <v/>
      </c>
      <c r="M28" s="332" t="str">
        <f>IF(B28="","",(IF(OR('Ingoing Substances'!O28="N",'Ingoing substances_DID'!O28="R"),"",K28)))</f>
        <v/>
      </c>
      <c r="N28" s="332" t="str">
        <f>IF(B28="","",IF(OR('Ingoing Substances'!O28="N",'Ingoing substances_DID'!Q28="Y"),"",K28))</f>
        <v/>
      </c>
      <c r="O28" s="385" t="str">
        <f>IF('Ingoing Substances'!U28="","",'Ingoing Substances'!U28*K28/100)</f>
        <v/>
      </c>
      <c r="P28" s="384" t="str">
        <f>IF(B28="","",C28*Product!$E$38/100)</f>
        <v/>
      </c>
      <c r="Q28" s="330" t="str">
        <f>IF(B28="","",P28*'Ingoing substances_DID'!M28/'Ingoing substances_DID'!N28*1000)</f>
        <v/>
      </c>
      <c r="R28" s="332" t="str">
        <f>IF(B28="","",(IF(OR('Ingoing Substances'!O28="N",'Ingoing substances_DID'!O28="R"),"",P28)))</f>
        <v/>
      </c>
      <c r="S28" s="332" t="str">
        <f>IF(B28="","",IF(OR('Ingoing Substances'!O28="N",'Ingoing substances_DID'!Q28="Y"),"",P28))</f>
        <v/>
      </c>
      <c r="T28" s="385" t="str">
        <f>IF('Ingoing Substances'!U28="","",'Ingoing Substances'!U28*P28/100)</f>
        <v/>
      </c>
    </row>
    <row r="29" spans="1:20" x14ac:dyDescent="0.15">
      <c r="A29" s="37">
        <v>18</v>
      </c>
      <c r="B29" s="328" t="str">
        <f>IF('Ingoing substances_DID'!B29="","",'Ingoing substances_DID'!B29)</f>
        <v/>
      </c>
      <c r="C29" s="329" t="str">
        <f>IF('Ingoing substances_DID'!G29="","",'Ingoing substances_DID'!G29)</f>
        <v/>
      </c>
      <c r="D29" s="331" t="str">
        <f>IF(OR('Ingoing Substances'!Q29="N",'Ingoing substances_DID'!O29="R"),"",C29)</f>
        <v/>
      </c>
      <c r="E29" s="376" t="str">
        <f>IF(OR('Ingoing Substances'!T29="N",'Ingoing substances_DID'!P29="Y"),"",C29)</f>
        <v/>
      </c>
      <c r="F29" s="384" t="str">
        <f>IF(B29="","",C29*Product!$C$38/100)</f>
        <v/>
      </c>
      <c r="G29" s="330" t="str">
        <f>IF(B29="","",F29*'Ingoing substances_DID'!M29/'Ingoing substances_DID'!N29*1000)</f>
        <v/>
      </c>
      <c r="H29" s="331" t="str">
        <f>IF(B29="","",(IF(OR('Ingoing Substances'!O29="N",'Ingoing substances_DID'!O29="R"),"",F29)))</f>
        <v/>
      </c>
      <c r="I29" s="331" t="str">
        <f>IF(B29="","",IF(OR('Ingoing Substances'!O29="N",'Ingoing substances_DID'!Q29="Y"),"",F29))</f>
        <v/>
      </c>
      <c r="J29" s="385" t="str">
        <f>IF('Ingoing Substances'!U29="","",'Ingoing Substances'!U29*F29/100)</f>
        <v/>
      </c>
      <c r="K29" s="384" t="str">
        <f>IF(B29="","",C29*Product!$D$38/100)</f>
        <v/>
      </c>
      <c r="L29" s="330" t="str">
        <f>IF(B29="","",K29*'Ingoing substances_DID'!M29/'Ingoing substances_DID'!N29*1000)</f>
        <v/>
      </c>
      <c r="M29" s="332" t="str">
        <f>IF(B29="","",(IF(OR('Ingoing Substances'!O29="N",'Ingoing substances_DID'!O29="R"),"",K29)))</f>
        <v/>
      </c>
      <c r="N29" s="332" t="str">
        <f>IF(B29="","",IF(OR('Ingoing Substances'!O29="N",'Ingoing substances_DID'!Q29="Y"),"",K29))</f>
        <v/>
      </c>
      <c r="O29" s="385" t="str">
        <f>IF('Ingoing Substances'!U29="","",'Ingoing Substances'!U29*K29/100)</f>
        <v/>
      </c>
      <c r="P29" s="384" t="str">
        <f>IF(B29="","",C29*Product!$E$38/100)</f>
        <v/>
      </c>
      <c r="Q29" s="330" t="str">
        <f>IF(B29="","",P29*'Ingoing substances_DID'!M29/'Ingoing substances_DID'!N29*1000)</f>
        <v/>
      </c>
      <c r="R29" s="332" t="str">
        <f>IF(B29="","",(IF(OR('Ingoing Substances'!O29="N",'Ingoing substances_DID'!O29="R"),"",P29)))</f>
        <v/>
      </c>
      <c r="S29" s="332" t="str">
        <f>IF(B29="","",IF(OR('Ingoing Substances'!O29="N",'Ingoing substances_DID'!Q29="Y"),"",P29))</f>
        <v/>
      </c>
      <c r="T29" s="385" t="str">
        <f>IF('Ingoing Substances'!U29="","",'Ingoing Substances'!U29*P29/100)</f>
        <v/>
      </c>
    </row>
    <row r="30" spans="1:20" x14ac:dyDescent="0.15">
      <c r="A30" s="37">
        <v>19</v>
      </c>
      <c r="B30" s="328" t="str">
        <f>IF('Ingoing substances_DID'!B30="","",'Ingoing substances_DID'!B30)</f>
        <v/>
      </c>
      <c r="C30" s="329" t="str">
        <f>IF('Ingoing substances_DID'!G30="","",'Ingoing substances_DID'!G30)</f>
        <v/>
      </c>
      <c r="D30" s="331" t="str">
        <f>IF(OR('Ingoing Substances'!Q30="N",'Ingoing substances_DID'!O30="R"),"",C30)</f>
        <v/>
      </c>
      <c r="E30" s="376" t="str">
        <f>IF(OR('Ingoing Substances'!T30="N",'Ingoing substances_DID'!P30="Y"),"",C30)</f>
        <v/>
      </c>
      <c r="F30" s="384" t="str">
        <f>IF(B30="","",C30*Product!$C$38/100)</f>
        <v/>
      </c>
      <c r="G30" s="330" t="str">
        <f>IF(B30="","",F30*'Ingoing substances_DID'!M30/'Ingoing substances_DID'!N30*1000)</f>
        <v/>
      </c>
      <c r="H30" s="331" t="str">
        <f>IF(B30="","",(IF(OR('Ingoing Substances'!O30="N",'Ingoing substances_DID'!O30="R"),"",F30)))</f>
        <v/>
      </c>
      <c r="I30" s="331" t="str">
        <f>IF(B30="","",IF(OR('Ingoing Substances'!O30="N",'Ingoing substances_DID'!Q30="Y"),"",F30))</f>
        <v/>
      </c>
      <c r="J30" s="385" t="str">
        <f>IF('Ingoing Substances'!U30="","",'Ingoing Substances'!U30*F30/100)</f>
        <v/>
      </c>
      <c r="K30" s="384" t="str">
        <f>IF(B30="","",C30*Product!$D$38/100)</f>
        <v/>
      </c>
      <c r="L30" s="330" t="str">
        <f>IF(B30="","",K30*'Ingoing substances_DID'!M30/'Ingoing substances_DID'!N30*1000)</f>
        <v/>
      </c>
      <c r="M30" s="332" t="str">
        <f>IF(B30="","",(IF(OR('Ingoing Substances'!O30="N",'Ingoing substances_DID'!O30="R"),"",K30)))</f>
        <v/>
      </c>
      <c r="N30" s="332" t="str">
        <f>IF(B30="","",IF(OR('Ingoing Substances'!O30="N",'Ingoing substances_DID'!Q30="Y"),"",K30))</f>
        <v/>
      </c>
      <c r="O30" s="385" t="str">
        <f>IF('Ingoing Substances'!U30="","",'Ingoing Substances'!U30*K30/100)</f>
        <v/>
      </c>
      <c r="P30" s="384" t="str">
        <f>IF(B30="","",C30*Product!$E$38/100)</f>
        <v/>
      </c>
      <c r="Q30" s="330" t="str">
        <f>IF(B30="","",P30*'Ingoing substances_DID'!M30/'Ingoing substances_DID'!N30*1000)</f>
        <v/>
      </c>
      <c r="R30" s="332" t="str">
        <f>IF(B30="","",(IF(OR('Ingoing Substances'!O30="N",'Ingoing substances_DID'!O30="R"),"",P30)))</f>
        <v/>
      </c>
      <c r="S30" s="332" t="str">
        <f>IF(B30="","",IF(OR('Ingoing Substances'!O30="N",'Ingoing substances_DID'!Q30="Y"),"",P30))</f>
        <v/>
      </c>
      <c r="T30" s="385" t="str">
        <f>IF('Ingoing Substances'!U30="","",'Ingoing Substances'!U30*P30/100)</f>
        <v/>
      </c>
    </row>
    <row r="31" spans="1:20" x14ac:dyDescent="0.15">
      <c r="A31" s="37">
        <v>20</v>
      </c>
      <c r="B31" s="328" t="str">
        <f>IF('Ingoing substances_DID'!B31="","",'Ingoing substances_DID'!B31)</f>
        <v/>
      </c>
      <c r="C31" s="329" t="str">
        <f>IF('Ingoing substances_DID'!G31="","",'Ingoing substances_DID'!G31)</f>
        <v/>
      </c>
      <c r="D31" s="331" t="str">
        <f>IF(OR('Ingoing Substances'!Q31="N",'Ingoing substances_DID'!O31="R"),"",C31)</f>
        <v/>
      </c>
      <c r="E31" s="376" t="str">
        <f>IF(OR('Ingoing Substances'!T31="N",'Ingoing substances_DID'!P31="Y"),"",C31)</f>
        <v/>
      </c>
      <c r="F31" s="384" t="str">
        <f>IF(B31="","",C31*Product!$C$38/100)</f>
        <v/>
      </c>
      <c r="G31" s="330" t="str">
        <f>IF(B31="","",F31*'Ingoing substances_DID'!M31/'Ingoing substances_DID'!N31*1000)</f>
        <v/>
      </c>
      <c r="H31" s="331" t="str">
        <f>IF(B31="","",(IF(OR('Ingoing Substances'!O31="N",'Ingoing substances_DID'!O31="R"),"",F31)))</f>
        <v/>
      </c>
      <c r="I31" s="331" t="str">
        <f>IF(B31="","",IF(OR('Ingoing Substances'!O31="N",'Ingoing substances_DID'!Q31="Y"),"",F31))</f>
        <v/>
      </c>
      <c r="J31" s="385" t="str">
        <f>IF('Ingoing Substances'!U31="","",'Ingoing Substances'!U31*F31/100)</f>
        <v/>
      </c>
      <c r="K31" s="384" t="str">
        <f>IF(B31="","",C31*Product!$D$38/100)</f>
        <v/>
      </c>
      <c r="L31" s="330" t="str">
        <f>IF(B31="","",K31*'Ingoing substances_DID'!M31/'Ingoing substances_DID'!N31*1000)</f>
        <v/>
      </c>
      <c r="M31" s="332" t="str">
        <f>IF(B31="","",(IF(OR('Ingoing Substances'!O31="N",'Ingoing substances_DID'!O31="R"),"",K31)))</f>
        <v/>
      </c>
      <c r="N31" s="332" t="str">
        <f>IF(B31="","",IF(OR('Ingoing Substances'!O31="N",'Ingoing substances_DID'!Q31="Y"),"",K31))</f>
        <v/>
      </c>
      <c r="O31" s="385" t="str">
        <f>IF('Ingoing Substances'!U31="","",'Ingoing Substances'!U31*K31/100)</f>
        <v/>
      </c>
      <c r="P31" s="384" t="str">
        <f>IF(B31="","",C31*Product!$E$38/100)</f>
        <v/>
      </c>
      <c r="Q31" s="330" t="str">
        <f>IF(B31="","",P31*'Ingoing substances_DID'!M31/'Ingoing substances_DID'!N31*1000)</f>
        <v/>
      </c>
      <c r="R31" s="332" t="str">
        <f>IF(B31="","",(IF(OR('Ingoing Substances'!O31="N",'Ingoing substances_DID'!O31="R"),"",P31)))</f>
        <v/>
      </c>
      <c r="S31" s="332" t="str">
        <f>IF(B31="","",IF(OR('Ingoing Substances'!O31="N",'Ingoing substances_DID'!Q31="Y"),"",P31))</f>
        <v/>
      </c>
      <c r="T31" s="385" t="str">
        <f>IF('Ingoing Substances'!U31="","",'Ingoing Substances'!U31*P31/100)</f>
        <v/>
      </c>
    </row>
    <row r="32" spans="1:20" x14ac:dyDescent="0.15">
      <c r="A32" s="37">
        <v>21</v>
      </c>
      <c r="B32" s="328" t="str">
        <f>IF('Ingoing substances_DID'!B32="","",'Ingoing substances_DID'!B32)</f>
        <v/>
      </c>
      <c r="C32" s="329" t="str">
        <f>IF('Ingoing substances_DID'!G32="","",'Ingoing substances_DID'!G32)</f>
        <v/>
      </c>
      <c r="D32" s="331" t="str">
        <f>IF(OR('Ingoing Substances'!Q32="N",'Ingoing substances_DID'!O32="R"),"",C32)</f>
        <v/>
      </c>
      <c r="E32" s="376" t="str">
        <f>IF(OR('Ingoing Substances'!T32="N",'Ingoing substances_DID'!P32="Y"),"",C32)</f>
        <v/>
      </c>
      <c r="F32" s="384" t="str">
        <f>IF(B32="","",C32*Product!$C$38/100)</f>
        <v/>
      </c>
      <c r="G32" s="330" t="str">
        <f>IF(B32="","",F32*'Ingoing substances_DID'!M32/'Ingoing substances_DID'!N32*1000)</f>
        <v/>
      </c>
      <c r="H32" s="331" t="str">
        <f>IF(B32="","",(IF(OR('Ingoing Substances'!O32="N",'Ingoing substances_DID'!O32="R"),"",F32)))</f>
        <v/>
      </c>
      <c r="I32" s="331" t="str">
        <f>IF(B32="","",IF(OR('Ingoing Substances'!O32="N",'Ingoing substances_DID'!Q32="Y"),"",F32))</f>
        <v/>
      </c>
      <c r="J32" s="385" t="str">
        <f>IF('Ingoing Substances'!U32="","",'Ingoing Substances'!U32*F32/100)</f>
        <v/>
      </c>
      <c r="K32" s="384" t="str">
        <f>IF(B32="","",C32*Product!$D$38/100)</f>
        <v/>
      </c>
      <c r="L32" s="330" t="str">
        <f>IF(B32="","",K32*'Ingoing substances_DID'!M32/'Ingoing substances_DID'!N32*1000)</f>
        <v/>
      </c>
      <c r="M32" s="332" t="str">
        <f>IF(B32="","",(IF(OR('Ingoing Substances'!O32="N",'Ingoing substances_DID'!O32="R"),"",K32)))</f>
        <v/>
      </c>
      <c r="N32" s="332" t="str">
        <f>IF(B32="","",IF(OR('Ingoing Substances'!O32="N",'Ingoing substances_DID'!Q32="Y"),"",K32))</f>
        <v/>
      </c>
      <c r="O32" s="385" t="str">
        <f>IF('Ingoing Substances'!U32="","",'Ingoing Substances'!U32*K32/100)</f>
        <v/>
      </c>
      <c r="P32" s="384" t="str">
        <f>IF(B32="","",C32*Product!$E$38/100)</f>
        <v/>
      </c>
      <c r="Q32" s="330" t="str">
        <f>IF(B32="","",P32*'Ingoing substances_DID'!M32/'Ingoing substances_DID'!N32*1000)</f>
        <v/>
      </c>
      <c r="R32" s="332" t="str">
        <f>IF(B32="","",(IF(OR('Ingoing Substances'!O32="N",'Ingoing substances_DID'!O32="R"),"",P32)))</f>
        <v/>
      </c>
      <c r="S32" s="332" t="str">
        <f>IF(B32="","",IF(OR('Ingoing Substances'!O32="N",'Ingoing substances_DID'!Q32="Y"),"",P32))</f>
        <v/>
      </c>
      <c r="T32" s="385" t="str">
        <f>IF('Ingoing Substances'!U32="","",'Ingoing Substances'!U32*P32/100)</f>
        <v/>
      </c>
    </row>
    <row r="33" spans="1:20" x14ac:dyDescent="0.15">
      <c r="A33" s="37">
        <v>22</v>
      </c>
      <c r="B33" s="328" t="str">
        <f>IF('Ingoing substances_DID'!B33="","",'Ingoing substances_DID'!B33)</f>
        <v/>
      </c>
      <c r="C33" s="329" t="str">
        <f>IF('Ingoing substances_DID'!G33="","",'Ingoing substances_DID'!G33)</f>
        <v/>
      </c>
      <c r="D33" s="331" t="str">
        <f>IF(OR('Ingoing Substances'!Q33="N",'Ingoing substances_DID'!O33="R"),"",C33)</f>
        <v/>
      </c>
      <c r="E33" s="376" t="str">
        <f>IF(OR('Ingoing Substances'!T33="N",'Ingoing substances_DID'!P33="Y"),"",C33)</f>
        <v/>
      </c>
      <c r="F33" s="384" t="str">
        <f>IF(B33="","",C33*Product!$C$38/100)</f>
        <v/>
      </c>
      <c r="G33" s="330" t="str">
        <f>IF(B33="","",F33*'Ingoing substances_DID'!M33/'Ingoing substances_DID'!N33*1000)</f>
        <v/>
      </c>
      <c r="H33" s="331" t="str">
        <f>IF(B33="","",(IF(OR('Ingoing Substances'!O33="N",'Ingoing substances_DID'!O33="R"),"",F33)))</f>
        <v/>
      </c>
      <c r="I33" s="331" t="str">
        <f>IF(B33="","",IF(OR('Ingoing Substances'!O33="N",'Ingoing substances_DID'!Q33="Y"),"",F33))</f>
        <v/>
      </c>
      <c r="J33" s="385" t="str">
        <f>IF('Ingoing Substances'!U33="","",'Ingoing Substances'!U33*F33/100)</f>
        <v/>
      </c>
      <c r="K33" s="384" t="str">
        <f>IF(B33="","",C33*Product!$D$38/100)</f>
        <v/>
      </c>
      <c r="L33" s="330" t="str">
        <f>IF(B33="","",K33*'Ingoing substances_DID'!M33/'Ingoing substances_DID'!N33*1000)</f>
        <v/>
      </c>
      <c r="M33" s="332" t="str">
        <f>IF(B33="","",(IF(OR('Ingoing Substances'!O33="N",'Ingoing substances_DID'!O33="R"),"",K33)))</f>
        <v/>
      </c>
      <c r="N33" s="332" t="str">
        <f>IF(B33="","",IF(OR('Ingoing Substances'!O33="N",'Ingoing substances_DID'!Q33="Y"),"",K33))</f>
        <v/>
      </c>
      <c r="O33" s="385" t="str">
        <f>IF('Ingoing Substances'!U33="","",'Ingoing Substances'!U33*K33/100)</f>
        <v/>
      </c>
      <c r="P33" s="384" t="str">
        <f>IF(B33="","",C33*Product!$E$38/100)</f>
        <v/>
      </c>
      <c r="Q33" s="330" t="str">
        <f>IF(B33="","",P33*'Ingoing substances_DID'!M33/'Ingoing substances_DID'!N33*1000)</f>
        <v/>
      </c>
      <c r="R33" s="332" t="str">
        <f>IF(B33="","",(IF(OR('Ingoing Substances'!O33="N",'Ingoing substances_DID'!O33="R"),"",P33)))</f>
        <v/>
      </c>
      <c r="S33" s="332" t="str">
        <f>IF(B33="","",IF(OR('Ingoing Substances'!O33="N",'Ingoing substances_DID'!Q33="Y"),"",P33))</f>
        <v/>
      </c>
      <c r="T33" s="385" t="str">
        <f>IF('Ingoing Substances'!U33="","",'Ingoing Substances'!U33*P33/100)</f>
        <v/>
      </c>
    </row>
    <row r="34" spans="1:20" x14ac:dyDescent="0.15">
      <c r="A34" s="37">
        <v>23</v>
      </c>
      <c r="B34" s="328" t="str">
        <f>IF('Ingoing substances_DID'!B34="","",'Ingoing substances_DID'!B34)</f>
        <v/>
      </c>
      <c r="C34" s="329" t="str">
        <f>IF('Ingoing substances_DID'!G34="","",'Ingoing substances_DID'!G34)</f>
        <v/>
      </c>
      <c r="D34" s="331" t="str">
        <f>IF(OR('Ingoing Substances'!Q34="N",'Ingoing substances_DID'!O34="R"),"",C34)</f>
        <v/>
      </c>
      <c r="E34" s="376" t="str">
        <f>IF(OR('Ingoing Substances'!T34="N",'Ingoing substances_DID'!P34="Y"),"",C34)</f>
        <v/>
      </c>
      <c r="F34" s="384" t="str">
        <f>IF(B34="","",C34*Product!$C$38/100)</f>
        <v/>
      </c>
      <c r="G34" s="330" t="str">
        <f>IF(B34="","",F34*'Ingoing substances_DID'!M34/'Ingoing substances_DID'!N34*1000)</f>
        <v/>
      </c>
      <c r="H34" s="331" t="str">
        <f>IF(B34="","",(IF(OR('Ingoing Substances'!O34="N",'Ingoing substances_DID'!O34="R"),"",F34)))</f>
        <v/>
      </c>
      <c r="I34" s="331" t="str">
        <f>IF(B34="","",IF(OR('Ingoing Substances'!O34="N",'Ingoing substances_DID'!Q34="Y"),"",F34))</f>
        <v/>
      </c>
      <c r="J34" s="385" t="str">
        <f>IF('Ingoing Substances'!U34="","",'Ingoing Substances'!U34*F34/100)</f>
        <v/>
      </c>
      <c r="K34" s="384" t="str">
        <f>IF(B34="","",C34*Product!$D$38/100)</f>
        <v/>
      </c>
      <c r="L34" s="330" t="str">
        <f>IF(B34="","",K34*'Ingoing substances_DID'!M34/'Ingoing substances_DID'!N34*1000)</f>
        <v/>
      </c>
      <c r="M34" s="332" t="str">
        <f>IF(B34="","",(IF(OR('Ingoing Substances'!O34="N",'Ingoing substances_DID'!O34="R"),"",K34)))</f>
        <v/>
      </c>
      <c r="N34" s="332" t="str">
        <f>IF(B34="","",IF(OR('Ingoing Substances'!O34="N",'Ingoing substances_DID'!Q34="Y"),"",K34))</f>
        <v/>
      </c>
      <c r="O34" s="385" t="str">
        <f>IF('Ingoing Substances'!U34="","",'Ingoing Substances'!U34*K34/100)</f>
        <v/>
      </c>
      <c r="P34" s="384" t="str">
        <f>IF(B34="","",C34*Product!$E$38/100)</f>
        <v/>
      </c>
      <c r="Q34" s="330" t="str">
        <f>IF(B34="","",P34*'Ingoing substances_DID'!M34/'Ingoing substances_DID'!N34*1000)</f>
        <v/>
      </c>
      <c r="R34" s="332" t="str">
        <f>IF(B34="","",(IF(OR('Ingoing Substances'!O34="N",'Ingoing substances_DID'!O34="R"),"",P34)))</f>
        <v/>
      </c>
      <c r="S34" s="332" t="str">
        <f>IF(B34="","",IF(OR('Ingoing Substances'!O34="N",'Ingoing substances_DID'!Q34="Y"),"",P34))</f>
        <v/>
      </c>
      <c r="T34" s="385" t="str">
        <f>IF('Ingoing Substances'!U34="","",'Ingoing Substances'!U34*P34/100)</f>
        <v/>
      </c>
    </row>
    <row r="35" spans="1:20" x14ac:dyDescent="0.15">
      <c r="A35" s="37">
        <v>24</v>
      </c>
      <c r="B35" s="328" t="str">
        <f>IF('Ingoing substances_DID'!B35="","",'Ingoing substances_DID'!B35)</f>
        <v/>
      </c>
      <c r="C35" s="329" t="str">
        <f>IF('Ingoing substances_DID'!G35="","",'Ingoing substances_DID'!G35)</f>
        <v/>
      </c>
      <c r="D35" s="331" t="str">
        <f>IF(OR('Ingoing Substances'!Q35="N",'Ingoing substances_DID'!O35="R"),"",C35)</f>
        <v/>
      </c>
      <c r="E35" s="376" t="str">
        <f>IF(OR('Ingoing Substances'!T35="N",'Ingoing substances_DID'!P35="Y"),"",C35)</f>
        <v/>
      </c>
      <c r="F35" s="384" t="str">
        <f>IF(B35="","",C35*Product!$C$38/100)</f>
        <v/>
      </c>
      <c r="G35" s="330" t="str">
        <f>IF(B35="","",F35*'Ingoing substances_DID'!M35/'Ingoing substances_DID'!N35*1000)</f>
        <v/>
      </c>
      <c r="H35" s="331" t="str">
        <f>IF(B35="","",(IF(OR('Ingoing Substances'!O35="N",'Ingoing substances_DID'!O35="R"),"",F35)))</f>
        <v/>
      </c>
      <c r="I35" s="331" t="str">
        <f>IF(B35="","",IF(OR('Ingoing Substances'!O35="N",'Ingoing substances_DID'!Q35="Y"),"",F35))</f>
        <v/>
      </c>
      <c r="J35" s="385" t="str">
        <f>IF('Ingoing Substances'!U35="","",'Ingoing Substances'!U35*F35/100)</f>
        <v/>
      </c>
      <c r="K35" s="384" t="str">
        <f>IF(B35="","",C35*Product!$D$38/100)</f>
        <v/>
      </c>
      <c r="L35" s="330" t="str">
        <f>IF(B35="","",K35*'Ingoing substances_DID'!M35/'Ingoing substances_DID'!N35*1000)</f>
        <v/>
      </c>
      <c r="M35" s="332" t="str">
        <f>IF(B35="","",(IF(OR('Ingoing Substances'!O35="N",'Ingoing substances_DID'!O35="R"),"",K35)))</f>
        <v/>
      </c>
      <c r="N35" s="332" t="str">
        <f>IF(B35="","",IF(OR('Ingoing Substances'!O35="N",'Ingoing substances_DID'!Q35="Y"),"",K35))</f>
        <v/>
      </c>
      <c r="O35" s="385" t="str">
        <f>IF('Ingoing Substances'!U35="","",'Ingoing Substances'!U35*K35/100)</f>
        <v/>
      </c>
      <c r="P35" s="384" t="str">
        <f>IF(B35="","",C35*Product!$E$38/100)</f>
        <v/>
      </c>
      <c r="Q35" s="330" t="str">
        <f>IF(B35="","",P35*'Ingoing substances_DID'!M35/'Ingoing substances_DID'!N35*1000)</f>
        <v/>
      </c>
      <c r="R35" s="332" t="str">
        <f>IF(B35="","",(IF(OR('Ingoing Substances'!O35="N",'Ingoing substances_DID'!O35="R"),"",P35)))</f>
        <v/>
      </c>
      <c r="S35" s="332" t="str">
        <f>IF(B35="","",IF(OR('Ingoing Substances'!O35="N",'Ingoing substances_DID'!Q35="Y"),"",P35))</f>
        <v/>
      </c>
      <c r="T35" s="385" t="str">
        <f>IF('Ingoing Substances'!U35="","",'Ingoing Substances'!U35*P35/100)</f>
        <v/>
      </c>
    </row>
    <row r="36" spans="1:20" x14ac:dyDescent="0.15">
      <c r="A36" s="37">
        <v>25</v>
      </c>
      <c r="B36" s="328" t="str">
        <f>IF('Ingoing substances_DID'!B36="","",'Ingoing substances_DID'!B36)</f>
        <v/>
      </c>
      <c r="C36" s="329" t="str">
        <f>IF('Ingoing substances_DID'!G36="","",'Ingoing substances_DID'!G36)</f>
        <v/>
      </c>
      <c r="D36" s="331" t="str">
        <f>IF(OR('Ingoing Substances'!Q36="N",'Ingoing substances_DID'!O36="R"),"",C36)</f>
        <v/>
      </c>
      <c r="E36" s="376" t="str">
        <f>IF(OR('Ingoing Substances'!T36="N",'Ingoing substances_DID'!P36="Y"),"",C36)</f>
        <v/>
      </c>
      <c r="F36" s="384" t="str">
        <f>IF(B36="","",C36*Product!$C$38/100)</f>
        <v/>
      </c>
      <c r="G36" s="330" t="str">
        <f>IF(B36="","",F36*'Ingoing substances_DID'!M36/'Ingoing substances_DID'!N36*1000)</f>
        <v/>
      </c>
      <c r="H36" s="331" t="str">
        <f>IF(B36="","",(IF(OR('Ingoing Substances'!O36="N",'Ingoing substances_DID'!O36="R"),"",F36)))</f>
        <v/>
      </c>
      <c r="I36" s="331" t="str">
        <f>IF(B36="","",IF(OR('Ingoing Substances'!O36="N",'Ingoing substances_DID'!Q36="Y"),"",F36))</f>
        <v/>
      </c>
      <c r="J36" s="385" t="str">
        <f>IF('Ingoing Substances'!U36="","",'Ingoing Substances'!U36*F36/100)</f>
        <v/>
      </c>
      <c r="K36" s="384" t="str">
        <f>IF(B36="","",C36*Product!$D$38/100)</f>
        <v/>
      </c>
      <c r="L36" s="330" t="str">
        <f>IF(B36="","",K36*'Ingoing substances_DID'!M36/'Ingoing substances_DID'!N36*1000)</f>
        <v/>
      </c>
      <c r="M36" s="332" t="str">
        <f>IF(B36="","",(IF(OR('Ingoing Substances'!O36="N",'Ingoing substances_DID'!O36="R"),"",K36)))</f>
        <v/>
      </c>
      <c r="N36" s="332" t="str">
        <f>IF(B36="","",IF(OR('Ingoing Substances'!O36="N",'Ingoing substances_DID'!Q36="Y"),"",K36))</f>
        <v/>
      </c>
      <c r="O36" s="385" t="str">
        <f>IF('Ingoing Substances'!U36="","",'Ingoing Substances'!U36*K36/100)</f>
        <v/>
      </c>
      <c r="P36" s="384" t="str">
        <f>IF(B36="","",C36*Product!$E$38/100)</f>
        <v/>
      </c>
      <c r="Q36" s="330" t="str">
        <f>IF(B36="","",P36*'Ingoing substances_DID'!M36/'Ingoing substances_DID'!N36*1000)</f>
        <v/>
      </c>
      <c r="R36" s="332" t="str">
        <f>IF(B36="","",(IF(OR('Ingoing Substances'!O36="N",'Ingoing substances_DID'!O36="R"),"",P36)))</f>
        <v/>
      </c>
      <c r="S36" s="332" t="str">
        <f>IF(B36="","",IF(OR('Ingoing Substances'!O36="N",'Ingoing substances_DID'!Q36="Y"),"",P36))</f>
        <v/>
      </c>
      <c r="T36" s="385" t="str">
        <f>IF('Ingoing Substances'!U36="","",'Ingoing Substances'!U36*P36/100)</f>
        <v/>
      </c>
    </row>
    <row r="37" spans="1:20" x14ac:dyDescent="0.15">
      <c r="A37" s="37">
        <v>26</v>
      </c>
      <c r="B37" s="328" t="str">
        <f>IF('Ingoing substances_DID'!B37="","",'Ingoing substances_DID'!B37)</f>
        <v/>
      </c>
      <c r="C37" s="329" t="str">
        <f>IF('Ingoing substances_DID'!G37="","",'Ingoing substances_DID'!G37)</f>
        <v/>
      </c>
      <c r="D37" s="331" t="str">
        <f>IF(OR('Ingoing Substances'!Q37="N",'Ingoing substances_DID'!O37="R"),"",C37)</f>
        <v/>
      </c>
      <c r="E37" s="376" t="str">
        <f>IF(OR('Ingoing Substances'!T37="N",'Ingoing substances_DID'!P37="Y"),"",C37)</f>
        <v/>
      </c>
      <c r="F37" s="384" t="str">
        <f>IF(B37="","",C37*Product!$C$38/100)</f>
        <v/>
      </c>
      <c r="G37" s="330" t="str">
        <f>IF(B37="","",F37*'Ingoing substances_DID'!M37/'Ingoing substances_DID'!N37*1000)</f>
        <v/>
      </c>
      <c r="H37" s="331" t="str">
        <f>IF(B37="","",(IF(OR('Ingoing Substances'!O37="N",'Ingoing substances_DID'!O37="R"),"",F37)))</f>
        <v/>
      </c>
      <c r="I37" s="331" t="str">
        <f>IF(B37="","",IF(OR('Ingoing Substances'!O37="N",'Ingoing substances_DID'!Q37="Y"),"",F37))</f>
        <v/>
      </c>
      <c r="J37" s="385" t="str">
        <f>IF('Ingoing Substances'!U37="","",'Ingoing Substances'!U37*F37/100)</f>
        <v/>
      </c>
      <c r="K37" s="384" t="str">
        <f>IF(B37="","",C37*Product!$D$38/100)</f>
        <v/>
      </c>
      <c r="L37" s="330" t="str">
        <f>IF(B37="","",K37*'Ingoing substances_DID'!M37/'Ingoing substances_DID'!N37*1000)</f>
        <v/>
      </c>
      <c r="M37" s="332" t="str">
        <f>IF(B37="","",(IF(OR('Ingoing Substances'!O37="N",'Ingoing substances_DID'!O37="R"),"",K37)))</f>
        <v/>
      </c>
      <c r="N37" s="332" t="str">
        <f>IF(B37="","",IF(OR('Ingoing Substances'!O37="N",'Ingoing substances_DID'!Q37="Y"),"",K37))</f>
        <v/>
      </c>
      <c r="O37" s="385" t="str">
        <f>IF('Ingoing Substances'!U37="","",'Ingoing Substances'!U37*K37/100)</f>
        <v/>
      </c>
      <c r="P37" s="384" t="str">
        <f>IF(B37="","",C37*Product!$E$38/100)</f>
        <v/>
      </c>
      <c r="Q37" s="330" t="str">
        <f>IF(B37="","",P37*'Ingoing substances_DID'!M37/'Ingoing substances_DID'!N37*1000)</f>
        <v/>
      </c>
      <c r="R37" s="332" t="str">
        <f>IF(B37="","",(IF(OR('Ingoing Substances'!O37="N",'Ingoing substances_DID'!O37="R"),"",P37)))</f>
        <v/>
      </c>
      <c r="S37" s="332" t="str">
        <f>IF(B37="","",IF(OR('Ingoing Substances'!O37="N",'Ingoing substances_DID'!Q37="Y"),"",P37))</f>
        <v/>
      </c>
      <c r="T37" s="385" t="str">
        <f>IF('Ingoing Substances'!U37="","",'Ingoing Substances'!U37*P37/100)</f>
        <v/>
      </c>
    </row>
    <row r="38" spans="1:20" x14ac:dyDescent="0.15">
      <c r="A38" s="37">
        <v>27</v>
      </c>
      <c r="B38" s="328" t="str">
        <f>IF('Ingoing substances_DID'!B38="","",'Ingoing substances_DID'!B38)</f>
        <v/>
      </c>
      <c r="C38" s="329" t="str">
        <f>IF('Ingoing substances_DID'!G38="","",'Ingoing substances_DID'!G38)</f>
        <v/>
      </c>
      <c r="D38" s="331" t="str">
        <f>IF(OR('Ingoing Substances'!Q38="N",'Ingoing substances_DID'!O38="R"),"",C38)</f>
        <v/>
      </c>
      <c r="E38" s="376" t="str">
        <f>IF(OR('Ingoing Substances'!T38="N",'Ingoing substances_DID'!P38="Y"),"",C38)</f>
        <v/>
      </c>
      <c r="F38" s="384" t="str">
        <f>IF(B38="","",C38*Product!$C$38/100)</f>
        <v/>
      </c>
      <c r="G38" s="330" t="str">
        <f>IF(B38="","",F38*'Ingoing substances_DID'!M38/'Ingoing substances_DID'!N38*1000)</f>
        <v/>
      </c>
      <c r="H38" s="331" t="str">
        <f>IF(B38="","",(IF(OR('Ingoing Substances'!O38="N",'Ingoing substances_DID'!O38="R"),"",F38)))</f>
        <v/>
      </c>
      <c r="I38" s="331" t="str">
        <f>IF(B38="","",IF(OR('Ingoing Substances'!O38="N",'Ingoing substances_DID'!Q38="Y"),"",F38))</f>
        <v/>
      </c>
      <c r="J38" s="385" t="str">
        <f>IF('Ingoing Substances'!U38="","",'Ingoing Substances'!U38*F38/100)</f>
        <v/>
      </c>
      <c r="K38" s="384" t="str">
        <f>IF(B38="","",C38*Product!$D$38/100)</f>
        <v/>
      </c>
      <c r="L38" s="330" t="str">
        <f>IF(B38="","",K38*'Ingoing substances_DID'!M38/'Ingoing substances_DID'!N38*1000)</f>
        <v/>
      </c>
      <c r="M38" s="332" t="str">
        <f>IF(B38="","",(IF(OR('Ingoing Substances'!O38="N",'Ingoing substances_DID'!O38="R"),"",K38)))</f>
        <v/>
      </c>
      <c r="N38" s="332" t="str">
        <f>IF(B38="","",IF(OR('Ingoing Substances'!O38="N",'Ingoing substances_DID'!Q38="Y"),"",K38))</f>
        <v/>
      </c>
      <c r="O38" s="385" t="str">
        <f>IF('Ingoing Substances'!U38="","",'Ingoing Substances'!U38*K38/100)</f>
        <v/>
      </c>
      <c r="P38" s="384" t="str">
        <f>IF(B38="","",C38*Product!$E$38/100)</f>
        <v/>
      </c>
      <c r="Q38" s="330" t="str">
        <f>IF(B38="","",P38*'Ingoing substances_DID'!M38/'Ingoing substances_DID'!N38*1000)</f>
        <v/>
      </c>
      <c r="R38" s="332" t="str">
        <f>IF(B38="","",(IF(OR('Ingoing Substances'!O38="N",'Ingoing substances_DID'!O38="R"),"",P38)))</f>
        <v/>
      </c>
      <c r="S38" s="332" t="str">
        <f>IF(B38="","",IF(OR('Ingoing Substances'!O38="N",'Ingoing substances_DID'!Q38="Y"),"",P38))</f>
        <v/>
      </c>
      <c r="T38" s="385" t="str">
        <f>IF('Ingoing Substances'!U38="","",'Ingoing Substances'!U38*P38/100)</f>
        <v/>
      </c>
    </row>
    <row r="39" spans="1:20" x14ac:dyDescent="0.15">
      <c r="A39" s="37">
        <v>28</v>
      </c>
      <c r="B39" s="328" t="str">
        <f>IF('Ingoing substances_DID'!B39="","",'Ingoing substances_DID'!B39)</f>
        <v/>
      </c>
      <c r="C39" s="329" t="str">
        <f>IF('Ingoing substances_DID'!G39="","",'Ingoing substances_DID'!G39)</f>
        <v/>
      </c>
      <c r="D39" s="331" t="str">
        <f>IF(OR('Ingoing Substances'!Q39="N",'Ingoing substances_DID'!O39="R"),"",C39)</f>
        <v/>
      </c>
      <c r="E39" s="376" t="str">
        <f>IF(OR('Ingoing Substances'!T39="N",'Ingoing substances_DID'!P39="Y"),"",C39)</f>
        <v/>
      </c>
      <c r="F39" s="384" t="str">
        <f>IF(B39="","",C39*Product!$C$38/100)</f>
        <v/>
      </c>
      <c r="G39" s="330" t="str">
        <f>IF(B39="","",F39*'Ingoing substances_DID'!M39/'Ingoing substances_DID'!N39*1000)</f>
        <v/>
      </c>
      <c r="H39" s="331" t="str">
        <f>IF(B39="","",(IF(OR('Ingoing Substances'!O39="N",'Ingoing substances_DID'!O39="R"),"",F39)))</f>
        <v/>
      </c>
      <c r="I39" s="331" t="str">
        <f>IF(B39="","",IF(OR('Ingoing Substances'!O39="N",'Ingoing substances_DID'!Q39="Y"),"",F39))</f>
        <v/>
      </c>
      <c r="J39" s="385" t="str">
        <f>IF('Ingoing Substances'!U39="","",'Ingoing Substances'!U39*F39/100)</f>
        <v/>
      </c>
      <c r="K39" s="384" t="str">
        <f>IF(B39="","",C39*Product!$D$38/100)</f>
        <v/>
      </c>
      <c r="L39" s="330" t="str">
        <f>IF(B39="","",K39*'Ingoing substances_DID'!M39/'Ingoing substances_DID'!N39*1000)</f>
        <v/>
      </c>
      <c r="M39" s="332" t="str">
        <f>IF(B39="","",(IF(OR('Ingoing Substances'!O39="N",'Ingoing substances_DID'!O39="R"),"",K39)))</f>
        <v/>
      </c>
      <c r="N39" s="332" t="str">
        <f>IF(B39="","",IF(OR('Ingoing Substances'!O39="N",'Ingoing substances_DID'!Q39="Y"),"",K39))</f>
        <v/>
      </c>
      <c r="O39" s="385" t="str">
        <f>IF('Ingoing Substances'!U39="","",'Ingoing Substances'!U39*K39/100)</f>
        <v/>
      </c>
      <c r="P39" s="384" t="str">
        <f>IF(B39="","",C39*Product!$E$38/100)</f>
        <v/>
      </c>
      <c r="Q39" s="330" t="str">
        <f>IF(B39="","",P39*'Ingoing substances_DID'!M39/'Ingoing substances_DID'!N39*1000)</f>
        <v/>
      </c>
      <c r="R39" s="332" t="str">
        <f>IF(B39="","",(IF(OR('Ingoing Substances'!O39="N",'Ingoing substances_DID'!O39="R"),"",P39)))</f>
        <v/>
      </c>
      <c r="S39" s="332" t="str">
        <f>IF(B39="","",IF(OR('Ingoing Substances'!O39="N",'Ingoing substances_DID'!Q39="Y"),"",P39))</f>
        <v/>
      </c>
      <c r="T39" s="385" t="str">
        <f>IF('Ingoing Substances'!U39="","",'Ingoing Substances'!U39*P39/100)</f>
        <v/>
      </c>
    </row>
    <row r="40" spans="1:20" x14ac:dyDescent="0.15">
      <c r="A40" s="37">
        <v>29</v>
      </c>
      <c r="B40" s="328" t="str">
        <f>IF('Ingoing substances_DID'!B40="","",'Ingoing substances_DID'!B40)</f>
        <v/>
      </c>
      <c r="C40" s="329" t="str">
        <f>IF('Ingoing substances_DID'!G40="","",'Ingoing substances_DID'!G40)</f>
        <v/>
      </c>
      <c r="D40" s="331" t="str">
        <f>IF(OR('Ingoing Substances'!Q40="N",'Ingoing substances_DID'!O40="R"),"",C40)</f>
        <v/>
      </c>
      <c r="E40" s="376" t="str">
        <f>IF(OR('Ingoing Substances'!T40="N",'Ingoing substances_DID'!P40="Y"),"",C40)</f>
        <v/>
      </c>
      <c r="F40" s="384" t="str">
        <f>IF(B40="","",C40*Product!$C$38/100)</f>
        <v/>
      </c>
      <c r="G40" s="330" t="str">
        <f>IF(B40="","",F40*'Ingoing substances_DID'!M40/'Ingoing substances_DID'!N40*1000)</f>
        <v/>
      </c>
      <c r="H40" s="331" t="str">
        <f>IF(B40="","",(IF(OR('Ingoing Substances'!O40="N",'Ingoing substances_DID'!O40="R"),"",F40)))</f>
        <v/>
      </c>
      <c r="I40" s="331" t="str">
        <f>IF(B40="","",IF(OR('Ingoing Substances'!O40="N",'Ingoing substances_DID'!Q40="Y"),"",F40))</f>
        <v/>
      </c>
      <c r="J40" s="385" t="str">
        <f>IF('Ingoing Substances'!U40="","",'Ingoing Substances'!U40*F40/100)</f>
        <v/>
      </c>
      <c r="K40" s="384" t="str">
        <f>IF(B40="","",C40*Product!$D$38/100)</f>
        <v/>
      </c>
      <c r="L40" s="330" t="str">
        <f>IF(B40="","",K40*'Ingoing substances_DID'!M40/'Ingoing substances_DID'!N40*1000)</f>
        <v/>
      </c>
      <c r="M40" s="332" t="str">
        <f>IF(B40="","",(IF(OR('Ingoing Substances'!O40="N",'Ingoing substances_DID'!O40="R"),"",K40)))</f>
        <v/>
      </c>
      <c r="N40" s="332" t="str">
        <f>IF(B40="","",IF(OR('Ingoing Substances'!O40="N",'Ingoing substances_DID'!Q40="Y"),"",K40))</f>
        <v/>
      </c>
      <c r="O40" s="385" t="str">
        <f>IF('Ingoing Substances'!U40="","",'Ingoing Substances'!U40*K40/100)</f>
        <v/>
      </c>
      <c r="P40" s="384" t="str">
        <f>IF(B40="","",C40*Product!$E$38/100)</f>
        <v/>
      </c>
      <c r="Q40" s="330" t="str">
        <f>IF(B40="","",P40*'Ingoing substances_DID'!M40/'Ingoing substances_DID'!N40*1000)</f>
        <v/>
      </c>
      <c r="R40" s="332" t="str">
        <f>IF(B40="","",(IF(OR('Ingoing Substances'!O40="N",'Ingoing substances_DID'!O40="R"),"",P40)))</f>
        <v/>
      </c>
      <c r="S40" s="332" t="str">
        <f>IF(B40="","",IF(OR('Ingoing Substances'!O40="N",'Ingoing substances_DID'!Q40="Y"),"",P40))</f>
        <v/>
      </c>
      <c r="T40" s="385" t="str">
        <f>IF('Ingoing Substances'!U40="","",'Ingoing Substances'!U40*P40/100)</f>
        <v/>
      </c>
    </row>
    <row r="41" spans="1:20" x14ac:dyDescent="0.15">
      <c r="A41" s="37">
        <v>30</v>
      </c>
      <c r="B41" s="328" t="str">
        <f>IF('Ingoing substances_DID'!B41="","",'Ingoing substances_DID'!B41)</f>
        <v/>
      </c>
      <c r="C41" s="329" t="str">
        <f>IF('Ingoing substances_DID'!G41="","",'Ingoing substances_DID'!G41)</f>
        <v/>
      </c>
      <c r="D41" s="331" t="str">
        <f>IF(OR('Ingoing Substances'!Q41="N",'Ingoing substances_DID'!O41="R"),"",C41)</f>
        <v/>
      </c>
      <c r="E41" s="376" t="str">
        <f>IF(OR('Ingoing Substances'!T41="N",'Ingoing substances_DID'!P41="Y"),"",C41)</f>
        <v/>
      </c>
      <c r="F41" s="384" t="str">
        <f>IF(B41="","",C41*Product!$C$38/100)</f>
        <v/>
      </c>
      <c r="G41" s="330" t="str">
        <f>IF(B41="","",F41*'Ingoing substances_DID'!M41/'Ingoing substances_DID'!N41*1000)</f>
        <v/>
      </c>
      <c r="H41" s="331" t="str">
        <f>IF(B41="","",(IF(OR('Ingoing Substances'!O41="N",'Ingoing substances_DID'!O41="R"),"",F41)))</f>
        <v/>
      </c>
      <c r="I41" s="331" t="str">
        <f>IF(B41="","",IF(OR('Ingoing Substances'!O41="N",'Ingoing substances_DID'!Q41="Y"),"",F41))</f>
        <v/>
      </c>
      <c r="J41" s="385" t="str">
        <f>IF('Ingoing Substances'!U41="","",'Ingoing Substances'!U41*F41/100)</f>
        <v/>
      </c>
      <c r="K41" s="384" t="str">
        <f>IF(B41="","",C41*Product!$D$38/100)</f>
        <v/>
      </c>
      <c r="L41" s="330" t="str">
        <f>IF(B41="","",K41*'Ingoing substances_DID'!M41/'Ingoing substances_DID'!N41*1000)</f>
        <v/>
      </c>
      <c r="M41" s="332" t="str">
        <f>IF(B41="","",(IF(OR('Ingoing Substances'!O41="N",'Ingoing substances_DID'!O41="R"),"",K41)))</f>
        <v/>
      </c>
      <c r="N41" s="332" t="str">
        <f>IF(B41="","",IF(OR('Ingoing Substances'!O41="N",'Ingoing substances_DID'!Q41="Y"),"",K41))</f>
        <v/>
      </c>
      <c r="O41" s="385" t="str">
        <f>IF('Ingoing Substances'!U41="","",'Ingoing Substances'!U41*K41/100)</f>
        <v/>
      </c>
      <c r="P41" s="384" t="str">
        <f>IF(B41="","",C41*Product!$E$38/100)</f>
        <v/>
      </c>
      <c r="Q41" s="330" t="str">
        <f>IF(B41="","",P41*'Ingoing substances_DID'!M41/'Ingoing substances_DID'!N41*1000)</f>
        <v/>
      </c>
      <c r="R41" s="332" t="str">
        <f>IF(B41="","",(IF(OR('Ingoing Substances'!O41="N",'Ingoing substances_DID'!O41="R"),"",P41)))</f>
        <v/>
      </c>
      <c r="S41" s="332" t="str">
        <f>IF(B41="","",IF(OR('Ingoing Substances'!O41="N",'Ingoing substances_DID'!Q41="Y"),"",P41))</f>
        <v/>
      </c>
      <c r="T41" s="385" t="str">
        <f>IF('Ingoing Substances'!U41="","",'Ingoing Substances'!U41*P41/100)</f>
        <v/>
      </c>
    </row>
    <row r="42" spans="1:20" x14ac:dyDescent="0.15">
      <c r="A42" s="37">
        <v>31</v>
      </c>
      <c r="B42" s="328" t="str">
        <f>IF('Ingoing substances_DID'!B42="","",'Ingoing substances_DID'!B42)</f>
        <v/>
      </c>
      <c r="C42" s="329" t="str">
        <f>IF('Ingoing substances_DID'!G42="","",'Ingoing substances_DID'!G42)</f>
        <v/>
      </c>
      <c r="D42" s="331" t="str">
        <f>IF(OR('Ingoing Substances'!Q42="N",'Ingoing substances_DID'!O42="R"),"",C42)</f>
        <v/>
      </c>
      <c r="E42" s="376" t="str">
        <f>IF(OR('Ingoing Substances'!T42="N",'Ingoing substances_DID'!P42="Y"),"",C42)</f>
        <v/>
      </c>
      <c r="F42" s="384" t="str">
        <f>IF(B42="","",C42*Product!$C$38/100)</f>
        <v/>
      </c>
      <c r="G42" s="330" t="str">
        <f>IF(B42="","",F42*'Ingoing substances_DID'!M42/'Ingoing substances_DID'!N42*1000)</f>
        <v/>
      </c>
      <c r="H42" s="331" t="str">
        <f>IF(B42="","",(IF(OR('Ingoing Substances'!O42="N",'Ingoing substances_DID'!O42="R"),"",F42)))</f>
        <v/>
      </c>
      <c r="I42" s="331" t="str">
        <f>IF(B42="","",IF(OR('Ingoing Substances'!O42="N",'Ingoing substances_DID'!Q42="Y"),"",F42))</f>
        <v/>
      </c>
      <c r="J42" s="385" t="str">
        <f>IF('Ingoing Substances'!U42="","",'Ingoing Substances'!U42*F42/100)</f>
        <v/>
      </c>
      <c r="K42" s="384" t="str">
        <f>IF(B42="","",C42*Product!$D$38/100)</f>
        <v/>
      </c>
      <c r="L42" s="330" t="str">
        <f>IF(B42="","",K42*'Ingoing substances_DID'!M42/'Ingoing substances_DID'!N42*1000)</f>
        <v/>
      </c>
      <c r="M42" s="332" t="str">
        <f>IF(B42="","",(IF(OR('Ingoing Substances'!O42="N",'Ingoing substances_DID'!O42="R"),"",K42)))</f>
        <v/>
      </c>
      <c r="N42" s="332" t="str">
        <f>IF(B42="","",IF(OR('Ingoing Substances'!O42="N",'Ingoing substances_DID'!Q42="Y"),"",K42))</f>
        <v/>
      </c>
      <c r="O42" s="385" t="str">
        <f>IF('Ingoing Substances'!U42="","",'Ingoing Substances'!U42*K42/100)</f>
        <v/>
      </c>
      <c r="P42" s="384" t="str">
        <f>IF(B42="","",C42*Product!$E$38/100)</f>
        <v/>
      </c>
      <c r="Q42" s="330" t="str">
        <f>IF(B42="","",P42*'Ingoing substances_DID'!M42/'Ingoing substances_DID'!N42*1000)</f>
        <v/>
      </c>
      <c r="R42" s="332" t="str">
        <f>IF(B42="","",(IF(OR('Ingoing Substances'!O42="N",'Ingoing substances_DID'!O42="R"),"",P42)))</f>
        <v/>
      </c>
      <c r="S42" s="332" t="str">
        <f>IF(B42="","",IF(OR('Ingoing Substances'!O42="N",'Ingoing substances_DID'!Q42="Y"),"",P42))</f>
        <v/>
      </c>
      <c r="T42" s="385" t="str">
        <f>IF('Ingoing Substances'!U42="","",'Ingoing Substances'!U42*P42/100)</f>
        <v/>
      </c>
    </row>
    <row r="43" spans="1:20" x14ac:dyDescent="0.15">
      <c r="A43" s="37">
        <v>32</v>
      </c>
      <c r="B43" s="328" t="str">
        <f>IF('Ingoing substances_DID'!B43="","",'Ingoing substances_DID'!B43)</f>
        <v/>
      </c>
      <c r="C43" s="329" t="str">
        <f>IF('Ingoing substances_DID'!G43="","",'Ingoing substances_DID'!G43)</f>
        <v/>
      </c>
      <c r="D43" s="331" t="str">
        <f>IF(OR('Ingoing Substances'!Q43="N",'Ingoing substances_DID'!O43="R"),"",C43)</f>
        <v/>
      </c>
      <c r="E43" s="376" t="str">
        <f>IF(OR('Ingoing Substances'!T43="N",'Ingoing substances_DID'!P43="Y"),"",C43)</f>
        <v/>
      </c>
      <c r="F43" s="384" t="str">
        <f>IF(B43="","",C43*Product!$C$38/100)</f>
        <v/>
      </c>
      <c r="G43" s="330" t="str">
        <f>IF(B43="","",F43*'Ingoing substances_DID'!M43/'Ingoing substances_DID'!N43*1000)</f>
        <v/>
      </c>
      <c r="H43" s="331" t="str">
        <f>IF(B43="","",(IF(OR('Ingoing Substances'!O43="N",'Ingoing substances_DID'!O43="R"),"",F43)))</f>
        <v/>
      </c>
      <c r="I43" s="331" t="str">
        <f>IF(B43="","",IF(OR('Ingoing Substances'!O43="N",'Ingoing substances_DID'!Q43="Y"),"",F43))</f>
        <v/>
      </c>
      <c r="J43" s="385" t="str">
        <f>IF('Ingoing Substances'!U43="","",'Ingoing Substances'!U43*F43/100)</f>
        <v/>
      </c>
      <c r="K43" s="384" t="str">
        <f>IF(B43="","",C43*Product!$D$38/100)</f>
        <v/>
      </c>
      <c r="L43" s="330" t="str">
        <f>IF(B43="","",K43*'Ingoing substances_DID'!M43/'Ingoing substances_DID'!N43*1000)</f>
        <v/>
      </c>
      <c r="M43" s="332" t="str">
        <f>IF(B43="","",(IF(OR('Ingoing Substances'!O43="N",'Ingoing substances_DID'!O43="R"),"",K43)))</f>
        <v/>
      </c>
      <c r="N43" s="332" t="str">
        <f>IF(B43="","",IF(OR('Ingoing Substances'!O43="N",'Ingoing substances_DID'!Q43="Y"),"",K43))</f>
        <v/>
      </c>
      <c r="O43" s="385" t="str">
        <f>IF('Ingoing Substances'!U43="","",'Ingoing Substances'!U43*K43/100)</f>
        <v/>
      </c>
      <c r="P43" s="384" t="str">
        <f>IF(B43="","",C43*Product!$E$38/100)</f>
        <v/>
      </c>
      <c r="Q43" s="330" t="str">
        <f>IF(B43="","",P43*'Ingoing substances_DID'!M43/'Ingoing substances_DID'!N43*1000)</f>
        <v/>
      </c>
      <c r="R43" s="332" t="str">
        <f>IF(B43="","",(IF(OR('Ingoing Substances'!O43="N",'Ingoing substances_DID'!O43="R"),"",P43)))</f>
        <v/>
      </c>
      <c r="S43" s="332" t="str">
        <f>IF(B43="","",IF(OR('Ingoing Substances'!O43="N",'Ingoing substances_DID'!Q43="Y"),"",P43))</f>
        <v/>
      </c>
      <c r="T43" s="385" t="str">
        <f>IF('Ingoing Substances'!U43="","",'Ingoing Substances'!U43*P43/100)</f>
        <v/>
      </c>
    </row>
    <row r="44" spans="1:20" x14ac:dyDescent="0.15">
      <c r="A44" s="37">
        <v>33</v>
      </c>
      <c r="B44" s="328" t="str">
        <f>IF('Ingoing substances_DID'!B44="","",'Ingoing substances_DID'!B44)</f>
        <v/>
      </c>
      <c r="C44" s="329" t="str">
        <f>IF('Ingoing substances_DID'!G44="","",'Ingoing substances_DID'!G44)</f>
        <v/>
      </c>
      <c r="D44" s="331" t="str">
        <f>IF(OR('Ingoing Substances'!Q44="N",'Ingoing substances_DID'!O44="R"),"",C44)</f>
        <v/>
      </c>
      <c r="E44" s="376" t="str">
        <f>IF(OR('Ingoing Substances'!T44="N",'Ingoing substances_DID'!P44="Y"),"",C44)</f>
        <v/>
      </c>
      <c r="F44" s="384" t="str">
        <f>IF(B44="","",C44*Product!$C$38/100)</f>
        <v/>
      </c>
      <c r="G44" s="330" t="str">
        <f>IF(B44="","",F44*'Ingoing substances_DID'!M44/'Ingoing substances_DID'!N44*1000)</f>
        <v/>
      </c>
      <c r="H44" s="331" t="str">
        <f>IF(B44="","",(IF(OR('Ingoing Substances'!O44="N",'Ingoing substances_DID'!O44="R"),"",F44)))</f>
        <v/>
      </c>
      <c r="I44" s="331" t="str">
        <f>IF(B44="","",IF(OR('Ingoing Substances'!O44="N",'Ingoing substances_DID'!Q44="Y"),"",F44))</f>
        <v/>
      </c>
      <c r="J44" s="385" t="str">
        <f>IF('Ingoing Substances'!U44="","",'Ingoing Substances'!U44*F44/100)</f>
        <v/>
      </c>
      <c r="K44" s="384" t="str">
        <f>IF(B44="","",C44*Product!$D$38/100)</f>
        <v/>
      </c>
      <c r="L44" s="330" t="str">
        <f>IF(B44="","",K44*'Ingoing substances_DID'!M44/'Ingoing substances_DID'!N44*1000)</f>
        <v/>
      </c>
      <c r="M44" s="332" t="str">
        <f>IF(B44="","",(IF(OR('Ingoing Substances'!O44="N",'Ingoing substances_DID'!O44="R"),"",K44)))</f>
        <v/>
      </c>
      <c r="N44" s="332" t="str">
        <f>IF(B44="","",IF(OR('Ingoing Substances'!O44="N",'Ingoing substances_DID'!Q44="Y"),"",K44))</f>
        <v/>
      </c>
      <c r="O44" s="385" t="str">
        <f>IF('Ingoing Substances'!U44="","",'Ingoing Substances'!U44*K44/100)</f>
        <v/>
      </c>
      <c r="P44" s="384" t="str">
        <f>IF(B44="","",C44*Product!$E$38/100)</f>
        <v/>
      </c>
      <c r="Q44" s="330" t="str">
        <f>IF(B44="","",P44*'Ingoing substances_DID'!M44/'Ingoing substances_DID'!N44*1000)</f>
        <v/>
      </c>
      <c r="R44" s="332" t="str">
        <f>IF(B44="","",(IF(OR('Ingoing Substances'!O44="N",'Ingoing substances_DID'!O44="R"),"",P44)))</f>
        <v/>
      </c>
      <c r="S44" s="332" t="str">
        <f>IF(B44="","",IF(OR('Ingoing Substances'!O44="N",'Ingoing substances_DID'!Q44="Y"),"",P44))</f>
        <v/>
      </c>
      <c r="T44" s="385" t="str">
        <f>IF('Ingoing Substances'!U44="","",'Ingoing Substances'!U44*P44/100)</f>
        <v/>
      </c>
    </row>
    <row r="45" spans="1:20" x14ac:dyDescent="0.15">
      <c r="A45" s="37">
        <v>34</v>
      </c>
      <c r="B45" s="328" t="str">
        <f>IF('Ingoing substances_DID'!B45="","",'Ingoing substances_DID'!B45)</f>
        <v/>
      </c>
      <c r="C45" s="329" t="str">
        <f>IF('Ingoing substances_DID'!G45="","",'Ingoing substances_DID'!G45)</f>
        <v/>
      </c>
      <c r="D45" s="331" t="str">
        <f>IF(OR('Ingoing Substances'!Q45="N",'Ingoing substances_DID'!O45="R"),"",C45)</f>
        <v/>
      </c>
      <c r="E45" s="376" t="str">
        <f>IF(OR('Ingoing Substances'!T45="N",'Ingoing substances_DID'!P45="Y"),"",C45)</f>
        <v/>
      </c>
      <c r="F45" s="384" t="str">
        <f>IF(B45="","",C45*Product!$C$38/100)</f>
        <v/>
      </c>
      <c r="G45" s="330" t="str">
        <f>IF(B45="","",F45*'Ingoing substances_DID'!M45/'Ingoing substances_DID'!N45*1000)</f>
        <v/>
      </c>
      <c r="H45" s="331" t="str">
        <f>IF(B45="","",(IF(OR('Ingoing Substances'!O45="N",'Ingoing substances_DID'!O45="R"),"",F45)))</f>
        <v/>
      </c>
      <c r="I45" s="331" t="str">
        <f>IF(B45="","",IF(OR('Ingoing Substances'!O45="N",'Ingoing substances_DID'!Q45="Y"),"",F45))</f>
        <v/>
      </c>
      <c r="J45" s="385" t="str">
        <f>IF('Ingoing Substances'!U45="","",'Ingoing Substances'!U45*F45/100)</f>
        <v/>
      </c>
      <c r="K45" s="384" t="str">
        <f>IF(B45="","",C45*Product!$D$38/100)</f>
        <v/>
      </c>
      <c r="L45" s="330" t="str">
        <f>IF(B45="","",K45*'Ingoing substances_DID'!M45/'Ingoing substances_DID'!N45*1000)</f>
        <v/>
      </c>
      <c r="M45" s="332" t="str">
        <f>IF(B45="","",(IF(OR('Ingoing Substances'!O45="N",'Ingoing substances_DID'!O45="R"),"",K45)))</f>
        <v/>
      </c>
      <c r="N45" s="332" t="str">
        <f>IF(B45="","",IF(OR('Ingoing Substances'!O45="N",'Ingoing substances_DID'!Q45="Y"),"",K45))</f>
        <v/>
      </c>
      <c r="O45" s="385" t="str">
        <f>IF('Ingoing Substances'!U45="","",'Ingoing Substances'!U45*K45/100)</f>
        <v/>
      </c>
      <c r="P45" s="384" t="str">
        <f>IF(B45="","",C45*Product!$E$38/100)</f>
        <v/>
      </c>
      <c r="Q45" s="330" t="str">
        <f>IF(B45="","",P45*'Ingoing substances_DID'!M45/'Ingoing substances_DID'!N45*1000)</f>
        <v/>
      </c>
      <c r="R45" s="332" t="str">
        <f>IF(B45="","",(IF(OR('Ingoing Substances'!O45="N",'Ingoing substances_DID'!O45="R"),"",P45)))</f>
        <v/>
      </c>
      <c r="S45" s="332" t="str">
        <f>IF(B45="","",IF(OR('Ingoing Substances'!O45="N",'Ingoing substances_DID'!Q45="Y"),"",P45))</f>
        <v/>
      </c>
      <c r="T45" s="385" t="str">
        <f>IF('Ingoing Substances'!U45="","",'Ingoing Substances'!U45*P45/100)</f>
        <v/>
      </c>
    </row>
    <row r="46" spans="1:20" x14ac:dyDescent="0.15">
      <c r="A46" s="37">
        <v>35</v>
      </c>
      <c r="B46" s="328" t="str">
        <f>IF('Ingoing substances_DID'!B46="","",'Ingoing substances_DID'!B46)</f>
        <v/>
      </c>
      <c r="C46" s="329" t="str">
        <f>IF('Ingoing substances_DID'!G46="","",'Ingoing substances_DID'!G46)</f>
        <v/>
      </c>
      <c r="D46" s="331" t="str">
        <f>IF(OR('Ingoing Substances'!Q46="N",'Ingoing substances_DID'!O46="R"),"",C46)</f>
        <v/>
      </c>
      <c r="E46" s="376" t="str">
        <f>IF(OR('Ingoing Substances'!T46="N",'Ingoing substances_DID'!P46="Y"),"",C46)</f>
        <v/>
      </c>
      <c r="F46" s="384" t="str">
        <f>IF(B46="","",C46*Product!$C$38/100)</f>
        <v/>
      </c>
      <c r="G46" s="330" t="str">
        <f>IF(B46="","",F46*'Ingoing substances_DID'!M46/'Ingoing substances_DID'!N46*1000)</f>
        <v/>
      </c>
      <c r="H46" s="331" t="str">
        <f>IF(B46="","",(IF(OR('Ingoing Substances'!O46="N",'Ingoing substances_DID'!O46="R"),"",F46)))</f>
        <v/>
      </c>
      <c r="I46" s="331" t="str">
        <f>IF(B46="","",IF(OR('Ingoing Substances'!O46="N",'Ingoing substances_DID'!Q46="Y"),"",F46))</f>
        <v/>
      </c>
      <c r="J46" s="385" t="str">
        <f>IF('Ingoing Substances'!U46="","",'Ingoing Substances'!U46*F46/100)</f>
        <v/>
      </c>
      <c r="K46" s="384" t="str">
        <f>IF(B46="","",C46*Product!$D$38/100)</f>
        <v/>
      </c>
      <c r="L46" s="330" t="str">
        <f>IF(B46="","",K46*'Ingoing substances_DID'!M46/'Ingoing substances_DID'!N46*1000)</f>
        <v/>
      </c>
      <c r="M46" s="332" t="str">
        <f>IF(B46="","",(IF(OR('Ingoing Substances'!O46="N",'Ingoing substances_DID'!O46="R"),"",K46)))</f>
        <v/>
      </c>
      <c r="N46" s="332" t="str">
        <f>IF(B46="","",IF(OR('Ingoing Substances'!O46="N",'Ingoing substances_DID'!Q46="Y"),"",K46))</f>
        <v/>
      </c>
      <c r="O46" s="385" t="str">
        <f>IF('Ingoing Substances'!U46="","",'Ingoing Substances'!U46*K46/100)</f>
        <v/>
      </c>
      <c r="P46" s="384" t="str">
        <f>IF(B46="","",C46*Product!$E$38/100)</f>
        <v/>
      </c>
      <c r="Q46" s="330" t="str">
        <f>IF(B46="","",P46*'Ingoing substances_DID'!M46/'Ingoing substances_DID'!N46*1000)</f>
        <v/>
      </c>
      <c r="R46" s="332" t="str">
        <f>IF(B46="","",(IF(OR('Ingoing Substances'!O46="N",'Ingoing substances_DID'!O46="R"),"",P46)))</f>
        <v/>
      </c>
      <c r="S46" s="332" t="str">
        <f>IF(B46="","",IF(OR('Ingoing Substances'!O46="N",'Ingoing substances_DID'!Q46="Y"),"",P46))</f>
        <v/>
      </c>
      <c r="T46" s="385" t="str">
        <f>IF('Ingoing Substances'!U46="","",'Ingoing Substances'!U46*P46/100)</f>
        <v/>
      </c>
    </row>
    <row r="47" spans="1:20" x14ac:dyDescent="0.15">
      <c r="A47" s="37">
        <v>36</v>
      </c>
      <c r="B47" s="328" t="str">
        <f>IF('Ingoing substances_DID'!B47="","",'Ingoing substances_DID'!B47)</f>
        <v/>
      </c>
      <c r="C47" s="329" t="str">
        <f>IF('Ingoing substances_DID'!G47="","",'Ingoing substances_DID'!G47)</f>
        <v/>
      </c>
      <c r="D47" s="331" t="str">
        <f>IF(OR('Ingoing Substances'!Q47="N",'Ingoing substances_DID'!O47="R"),"",C47)</f>
        <v/>
      </c>
      <c r="E47" s="376" t="str">
        <f>IF(OR('Ingoing Substances'!T47="N",'Ingoing substances_DID'!P47="Y"),"",C47)</f>
        <v/>
      </c>
      <c r="F47" s="384" t="str">
        <f>IF(B47="","",C47*Product!$C$38/100)</f>
        <v/>
      </c>
      <c r="G47" s="330" t="str">
        <f>IF(B47="","",F47*'Ingoing substances_DID'!M47/'Ingoing substances_DID'!N47*1000)</f>
        <v/>
      </c>
      <c r="H47" s="331" t="str">
        <f>IF(B47="","",(IF(OR('Ingoing Substances'!O47="N",'Ingoing substances_DID'!O47="R"),"",F47)))</f>
        <v/>
      </c>
      <c r="I47" s="331" t="str">
        <f>IF(B47="","",IF(OR('Ingoing Substances'!O47="N",'Ingoing substances_DID'!Q47="Y"),"",F47))</f>
        <v/>
      </c>
      <c r="J47" s="385" t="str">
        <f>IF('Ingoing Substances'!U47="","",'Ingoing Substances'!U47*F47/100)</f>
        <v/>
      </c>
      <c r="K47" s="384" t="str">
        <f>IF(B47="","",C47*Product!$D$38/100)</f>
        <v/>
      </c>
      <c r="L47" s="330" t="str">
        <f>IF(B47="","",K47*'Ingoing substances_DID'!M47/'Ingoing substances_DID'!N47*1000)</f>
        <v/>
      </c>
      <c r="M47" s="332" t="str">
        <f>IF(B47="","",(IF(OR('Ingoing Substances'!O47="N",'Ingoing substances_DID'!O47="R"),"",K47)))</f>
        <v/>
      </c>
      <c r="N47" s="332" t="str">
        <f>IF(B47="","",IF(OR('Ingoing Substances'!O47="N",'Ingoing substances_DID'!Q47="Y"),"",K47))</f>
        <v/>
      </c>
      <c r="O47" s="385" t="str">
        <f>IF('Ingoing Substances'!U47="","",'Ingoing Substances'!U47*K47/100)</f>
        <v/>
      </c>
      <c r="P47" s="384" t="str">
        <f>IF(B47="","",C47*Product!$E$38/100)</f>
        <v/>
      </c>
      <c r="Q47" s="330" t="str">
        <f>IF(B47="","",P47*'Ingoing substances_DID'!M47/'Ingoing substances_DID'!N47*1000)</f>
        <v/>
      </c>
      <c r="R47" s="332" t="str">
        <f>IF(B47="","",(IF(OR('Ingoing Substances'!O47="N",'Ingoing substances_DID'!O47="R"),"",P47)))</f>
        <v/>
      </c>
      <c r="S47" s="332" t="str">
        <f>IF(B47="","",IF(OR('Ingoing Substances'!O47="N",'Ingoing substances_DID'!Q47="Y"),"",P47))</f>
        <v/>
      </c>
      <c r="T47" s="385" t="str">
        <f>IF('Ingoing Substances'!U47="","",'Ingoing Substances'!U47*P47/100)</f>
        <v/>
      </c>
    </row>
    <row r="48" spans="1:20" x14ac:dyDescent="0.15">
      <c r="A48" s="37">
        <v>37</v>
      </c>
      <c r="B48" s="328" t="str">
        <f>IF('Ingoing substances_DID'!B48="","",'Ingoing substances_DID'!B48)</f>
        <v/>
      </c>
      <c r="C48" s="329" t="str">
        <f>IF('Ingoing substances_DID'!G48="","",'Ingoing substances_DID'!G48)</f>
        <v/>
      </c>
      <c r="D48" s="331" t="str">
        <f>IF(OR('Ingoing Substances'!Q48="N",'Ingoing substances_DID'!O48="R"),"",C48)</f>
        <v/>
      </c>
      <c r="E48" s="376" t="str">
        <f>IF(OR('Ingoing Substances'!T48="N",'Ingoing substances_DID'!P48="Y"),"",C48)</f>
        <v/>
      </c>
      <c r="F48" s="384" t="str">
        <f>IF(B48="","",C48*Product!$C$38/100)</f>
        <v/>
      </c>
      <c r="G48" s="330" t="str">
        <f>IF(B48="","",F48*'Ingoing substances_DID'!M48/'Ingoing substances_DID'!N48*1000)</f>
        <v/>
      </c>
      <c r="H48" s="331" t="str">
        <f>IF(B48="","",(IF(OR('Ingoing Substances'!O48="N",'Ingoing substances_DID'!O48="R"),"",F48)))</f>
        <v/>
      </c>
      <c r="I48" s="331" t="str">
        <f>IF(B48="","",IF(OR('Ingoing Substances'!O48="N",'Ingoing substances_DID'!Q48="Y"),"",F48))</f>
        <v/>
      </c>
      <c r="J48" s="385" t="str">
        <f>IF('Ingoing Substances'!U48="","",'Ingoing Substances'!U48*F48/100)</f>
        <v/>
      </c>
      <c r="K48" s="384" t="str">
        <f>IF(B48="","",C48*Product!$D$38/100)</f>
        <v/>
      </c>
      <c r="L48" s="330" t="str">
        <f>IF(B48="","",K48*'Ingoing substances_DID'!M48/'Ingoing substances_DID'!N48*1000)</f>
        <v/>
      </c>
      <c r="M48" s="332" t="str">
        <f>IF(B48="","",(IF(OR('Ingoing Substances'!O48="N",'Ingoing substances_DID'!O48="R"),"",K48)))</f>
        <v/>
      </c>
      <c r="N48" s="332" t="str">
        <f>IF(B48="","",IF(OR('Ingoing Substances'!O48="N",'Ingoing substances_DID'!Q48="Y"),"",K48))</f>
        <v/>
      </c>
      <c r="O48" s="385" t="str">
        <f>IF('Ingoing Substances'!U48="","",'Ingoing Substances'!U48*K48/100)</f>
        <v/>
      </c>
      <c r="P48" s="384" t="str">
        <f>IF(B48="","",C48*Product!$E$38/100)</f>
        <v/>
      </c>
      <c r="Q48" s="330" t="str">
        <f>IF(B48="","",P48*'Ingoing substances_DID'!M48/'Ingoing substances_DID'!N48*1000)</f>
        <v/>
      </c>
      <c r="R48" s="332" t="str">
        <f>IF(B48="","",(IF(OR('Ingoing Substances'!O48="N",'Ingoing substances_DID'!O48="R"),"",P48)))</f>
        <v/>
      </c>
      <c r="S48" s="332" t="str">
        <f>IF(B48="","",IF(OR('Ingoing Substances'!O48="N",'Ingoing substances_DID'!Q48="Y"),"",P48))</f>
        <v/>
      </c>
      <c r="T48" s="385" t="str">
        <f>IF('Ingoing Substances'!U48="","",'Ingoing Substances'!U48*P48/100)</f>
        <v/>
      </c>
    </row>
    <row r="49" spans="1:20" x14ac:dyDescent="0.15">
      <c r="A49" s="37">
        <v>38</v>
      </c>
      <c r="B49" s="328" t="str">
        <f>IF('Ingoing substances_DID'!B49="","",'Ingoing substances_DID'!B49)</f>
        <v/>
      </c>
      <c r="C49" s="329" t="str">
        <f>IF('Ingoing substances_DID'!G49="","",'Ingoing substances_DID'!G49)</f>
        <v/>
      </c>
      <c r="D49" s="331" t="str">
        <f>IF(OR('Ingoing Substances'!Q49="N",'Ingoing substances_DID'!O49="R"),"",C49)</f>
        <v/>
      </c>
      <c r="E49" s="376" t="str">
        <f>IF(OR('Ingoing Substances'!T49="N",'Ingoing substances_DID'!P49="Y"),"",C49)</f>
        <v/>
      </c>
      <c r="F49" s="384" t="str">
        <f>IF(B49="","",C49*Product!$C$38/100)</f>
        <v/>
      </c>
      <c r="G49" s="330" t="str">
        <f>IF(B49="","",F49*'Ingoing substances_DID'!M49/'Ingoing substances_DID'!N49*1000)</f>
        <v/>
      </c>
      <c r="H49" s="331" t="str">
        <f>IF(B49="","",(IF(OR('Ingoing Substances'!O49="N",'Ingoing substances_DID'!O49="R"),"",F49)))</f>
        <v/>
      </c>
      <c r="I49" s="331" t="str">
        <f>IF(B49="","",IF(OR('Ingoing Substances'!O49="N",'Ingoing substances_DID'!Q49="Y"),"",F49))</f>
        <v/>
      </c>
      <c r="J49" s="385" t="str">
        <f>IF('Ingoing Substances'!U49="","",'Ingoing Substances'!U49*F49/100)</f>
        <v/>
      </c>
      <c r="K49" s="384" t="str">
        <f>IF(B49="","",C49*Product!$D$38/100)</f>
        <v/>
      </c>
      <c r="L49" s="330" t="str">
        <f>IF(B49="","",K49*'Ingoing substances_DID'!M49/'Ingoing substances_DID'!N49*1000)</f>
        <v/>
      </c>
      <c r="M49" s="332" t="str">
        <f>IF(B49="","",(IF(OR('Ingoing Substances'!O49="N",'Ingoing substances_DID'!O49="R"),"",K49)))</f>
        <v/>
      </c>
      <c r="N49" s="332" t="str">
        <f>IF(B49="","",IF(OR('Ingoing Substances'!O49="N",'Ingoing substances_DID'!Q49="Y"),"",K49))</f>
        <v/>
      </c>
      <c r="O49" s="385" t="str">
        <f>IF('Ingoing Substances'!U49="","",'Ingoing Substances'!U49*K49/100)</f>
        <v/>
      </c>
      <c r="P49" s="384" t="str">
        <f>IF(B49="","",C49*Product!$E$38/100)</f>
        <v/>
      </c>
      <c r="Q49" s="330" t="str">
        <f>IF(B49="","",P49*'Ingoing substances_DID'!M49/'Ingoing substances_DID'!N49*1000)</f>
        <v/>
      </c>
      <c r="R49" s="332" t="str">
        <f>IF(B49="","",(IF(OR('Ingoing Substances'!O49="N",'Ingoing substances_DID'!O49="R"),"",P49)))</f>
        <v/>
      </c>
      <c r="S49" s="332" t="str">
        <f>IF(B49="","",IF(OR('Ingoing Substances'!O49="N",'Ingoing substances_DID'!Q49="Y"),"",P49))</f>
        <v/>
      </c>
      <c r="T49" s="385" t="str">
        <f>IF('Ingoing Substances'!U49="","",'Ingoing Substances'!U49*P49/100)</f>
        <v/>
      </c>
    </row>
    <row r="50" spans="1:20" x14ac:dyDescent="0.15">
      <c r="A50" s="37">
        <v>39</v>
      </c>
      <c r="B50" s="328" t="str">
        <f>IF('Ingoing substances_DID'!B50="","",'Ingoing substances_DID'!B50)</f>
        <v/>
      </c>
      <c r="C50" s="329" t="str">
        <f>IF('Ingoing substances_DID'!G50="","",'Ingoing substances_DID'!G50)</f>
        <v/>
      </c>
      <c r="D50" s="331" t="str">
        <f>IF(OR('Ingoing Substances'!Q50="N",'Ingoing substances_DID'!O50="R"),"",C50)</f>
        <v/>
      </c>
      <c r="E50" s="376" t="str">
        <f>IF(OR('Ingoing Substances'!T50="N",'Ingoing substances_DID'!P50="Y"),"",C50)</f>
        <v/>
      </c>
      <c r="F50" s="384" t="str">
        <f>IF(B50="","",C50*Product!$C$38/100)</f>
        <v/>
      </c>
      <c r="G50" s="330" t="str">
        <f>IF(B50="","",F50*'Ingoing substances_DID'!M50/'Ingoing substances_DID'!N50*1000)</f>
        <v/>
      </c>
      <c r="H50" s="331" t="str">
        <f>IF(B50="","",(IF(OR('Ingoing Substances'!O50="N",'Ingoing substances_DID'!O50="R"),"",F50)))</f>
        <v/>
      </c>
      <c r="I50" s="331" t="str">
        <f>IF(B50="","",IF(OR('Ingoing Substances'!O50="N",'Ingoing substances_DID'!Q50="Y"),"",F50))</f>
        <v/>
      </c>
      <c r="J50" s="385" t="str">
        <f>IF('Ingoing Substances'!U50="","",'Ingoing Substances'!U50*F50/100)</f>
        <v/>
      </c>
      <c r="K50" s="384" t="str">
        <f>IF(B50="","",C50*Product!$D$38/100)</f>
        <v/>
      </c>
      <c r="L50" s="330" t="str">
        <f>IF(B50="","",K50*'Ingoing substances_DID'!M50/'Ingoing substances_DID'!N50*1000)</f>
        <v/>
      </c>
      <c r="M50" s="332" t="str">
        <f>IF(B50="","",(IF(OR('Ingoing Substances'!O50="N",'Ingoing substances_DID'!O50="R"),"",K50)))</f>
        <v/>
      </c>
      <c r="N50" s="332" t="str">
        <f>IF(B50="","",IF(OR('Ingoing Substances'!O50="N",'Ingoing substances_DID'!Q50="Y"),"",K50))</f>
        <v/>
      </c>
      <c r="O50" s="385" t="str">
        <f>IF('Ingoing Substances'!U50="","",'Ingoing Substances'!U50*K50/100)</f>
        <v/>
      </c>
      <c r="P50" s="384" t="str">
        <f>IF(B50="","",C50*Product!$E$38/100)</f>
        <v/>
      </c>
      <c r="Q50" s="330" t="str">
        <f>IF(B50="","",P50*'Ingoing substances_DID'!M50/'Ingoing substances_DID'!N50*1000)</f>
        <v/>
      </c>
      <c r="R50" s="332" t="str">
        <f>IF(B50="","",(IF(OR('Ingoing Substances'!O50="N",'Ingoing substances_DID'!O50="R"),"",P50)))</f>
        <v/>
      </c>
      <c r="S50" s="332" t="str">
        <f>IF(B50="","",IF(OR('Ingoing Substances'!O50="N",'Ingoing substances_DID'!Q50="Y"),"",P50))</f>
        <v/>
      </c>
      <c r="T50" s="385" t="str">
        <f>IF('Ingoing Substances'!U50="","",'Ingoing Substances'!U50*P50/100)</f>
        <v/>
      </c>
    </row>
    <row r="51" spans="1:20" x14ac:dyDescent="0.15">
      <c r="A51" s="37">
        <v>40</v>
      </c>
      <c r="B51" s="328" t="str">
        <f>IF('Ingoing substances_DID'!B51="","",'Ingoing substances_DID'!B51)</f>
        <v/>
      </c>
      <c r="C51" s="329" t="str">
        <f>IF('Ingoing substances_DID'!G51="","",'Ingoing substances_DID'!G51)</f>
        <v/>
      </c>
      <c r="D51" s="331" t="str">
        <f>IF(OR('Ingoing Substances'!Q51="N",'Ingoing substances_DID'!O51="R"),"",C51)</f>
        <v/>
      </c>
      <c r="E51" s="376" t="str">
        <f>IF(OR('Ingoing Substances'!T51="N",'Ingoing substances_DID'!P51="Y"),"",C51)</f>
        <v/>
      </c>
      <c r="F51" s="384" t="str">
        <f>IF(B51="","",C51*Product!$C$38/100)</f>
        <v/>
      </c>
      <c r="G51" s="330" t="str">
        <f>IF(B51="","",F51*'Ingoing substances_DID'!M51/'Ingoing substances_DID'!N51*1000)</f>
        <v/>
      </c>
      <c r="H51" s="331" t="str">
        <f>IF(B51="","",(IF(OR('Ingoing Substances'!O51="N",'Ingoing substances_DID'!O51="R"),"",F51)))</f>
        <v/>
      </c>
      <c r="I51" s="331" t="str">
        <f>IF(B51="","",IF(OR('Ingoing Substances'!O51="N",'Ingoing substances_DID'!Q51="Y"),"",F51))</f>
        <v/>
      </c>
      <c r="J51" s="385" t="str">
        <f>IF('Ingoing Substances'!U51="","",'Ingoing Substances'!U51*F51/100)</f>
        <v/>
      </c>
      <c r="K51" s="384" t="str">
        <f>IF(B51="","",C51*Product!$D$38/100)</f>
        <v/>
      </c>
      <c r="L51" s="330" t="str">
        <f>IF(B51="","",K51*'Ingoing substances_DID'!M51/'Ingoing substances_DID'!N51*1000)</f>
        <v/>
      </c>
      <c r="M51" s="332" t="str">
        <f>IF(B51="","",(IF(OR('Ingoing Substances'!O51="N",'Ingoing substances_DID'!O51="R"),"",K51)))</f>
        <v/>
      </c>
      <c r="N51" s="332" t="str">
        <f>IF(B51="","",IF(OR('Ingoing Substances'!O51="N",'Ingoing substances_DID'!Q51="Y"),"",K51))</f>
        <v/>
      </c>
      <c r="O51" s="385" t="str">
        <f>IF('Ingoing Substances'!U51="","",'Ingoing Substances'!U51*K51/100)</f>
        <v/>
      </c>
      <c r="P51" s="384" t="str">
        <f>IF(B51="","",C51*Product!$E$38/100)</f>
        <v/>
      </c>
      <c r="Q51" s="330" t="str">
        <f>IF(B51="","",P51*'Ingoing substances_DID'!M51/'Ingoing substances_DID'!N51*1000)</f>
        <v/>
      </c>
      <c r="R51" s="332" t="str">
        <f>IF(B51="","",(IF(OR('Ingoing Substances'!O51="N",'Ingoing substances_DID'!O51="R"),"",P51)))</f>
        <v/>
      </c>
      <c r="S51" s="332" t="str">
        <f>IF(B51="","",IF(OR('Ingoing Substances'!O51="N",'Ingoing substances_DID'!Q51="Y"),"",P51))</f>
        <v/>
      </c>
      <c r="T51" s="385" t="str">
        <f>IF('Ingoing Substances'!U51="","",'Ingoing Substances'!U51*P51/100)</f>
        <v/>
      </c>
    </row>
    <row r="52" spans="1:20" x14ac:dyDescent="0.15">
      <c r="A52" s="37">
        <v>41</v>
      </c>
      <c r="B52" s="328" t="str">
        <f>IF('Ingoing substances_DID'!B52="","",'Ingoing substances_DID'!B52)</f>
        <v/>
      </c>
      <c r="C52" s="329" t="str">
        <f>IF('Ingoing substances_DID'!G52="","",'Ingoing substances_DID'!G52)</f>
        <v/>
      </c>
      <c r="D52" s="331" t="str">
        <f>IF(OR('Ingoing Substances'!Q52="N",'Ingoing substances_DID'!O52="R"),"",C52)</f>
        <v/>
      </c>
      <c r="E52" s="376" t="str">
        <f>IF(OR('Ingoing Substances'!T52="N",'Ingoing substances_DID'!P52="Y"),"",C52)</f>
        <v/>
      </c>
      <c r="F52" s="384" t="str">
        <f>IF(B52="","",C52*Product!$C$38/100)</f>
        <v/>
      </c>
      <c r="G52" s="330" t="str">
        <f>IF(B52="","",F52*'Ingoing substances_DID'!M52/'Ingoing substances_DID'!N52*1000)</f>
        <v/>
      </c>
      <c r="H52" s="331" t="str">
        <f>IF(B52="","",(IF(OR('Ingoing Substances'!O52="N",'Ingoing substances_DID'!O52="R"),"",F52)))</f>
        <v/>
      </c>
      <c r="I52" s="331" t="str">
        <f>IF(B52="","",IF(OR('Ingoing Substances'!O52="N",'Ingoing substances_DID'!Q52="Y"),"",F52))</f>
        <v/>
      </c>
      <c r="J52" s="385" t="str">
        <f>IF('Ingoing Substances'!U52="","",'Ingoing Substances'!U52*F52/100)</f>
        <v/>
      </c>
      <c r="K52" s="384" t="str">
        <f>IF(B52="","",C52*Product!$D$38/100)</f>
        <v/>
      </c>
      <c r="L52" s="330" t="str">
        <f>IF(B52="","",K52*'Ingoing substances_DID'!M52/'Ingoing substances_DID'!N52*1000)</f>
        <v/>
      </c>
      <c r="M52" s="332" t="str">
        <f>IF(B52="","",(IF(OR('Ingoing Substances'!O52="N",'Ingoing substances_DID'!O52="R"),"",K52)))</f>
        <v/>
      </c>
      <c r="N52" s="332" t="str">
        <f>IF(B52="","",IF(OR('Ingoing Substances'!O52="N",'Ingoing substances_DID'!Q52="Y"),"",K52))</f>
        <v/>
      </c>
      <c r="O52" s="385" t="str">
        <f>IF('Ingoing Substances'!U52="","",'Ingoing Substances'!U52*K52/100)</f>
        <v/>
      </c>
      <c r="P52" s="384" t="str">
        <f>IF(B52="","",C52*Product!$E$38/100)</f>
        <v/>
      </c>
      <c r="Q52" s="330" t="str">
        <f>IF(B52="","",P52*'Ingoing substances_DID'!M52/'Ingoing substances_DID'!N52*1000)</f>
        <v/>
      </c>
      <c r="R52" s="332" t="str">
        <f>IF(B52="","",(IF(OR('Ingoing Substances'!O52="N",'Ingoing substances_DID'!O52="R"),"",P52)))</f>
        <v/>
      </c>
      <c r="S52" s="332" t="str">
        <f>IF(B52="","",IF(OR('Ingoing Substances'!O52="N",'Ingoing substances_DID'!Q52="Y"),"",P52))</f>
        <v/>
      </c>
      <c r="T52" s="385" t="str">
        <f>IF('Ingoing Substances'!U52="","",'Ingoing Substances'!U52*P52/100)</f>
        <v/>
      </c>
    </row>
    <row r="53" spans="1:20" x14ac:dyDescent="0.15">
      <c r="A53" s="37">
        <v>42</v>
      </c>
      <c r="B53" s="328" t="str">
        <f>IF('Ingoing substances_DID'!B53="","",'Ingoing substances_DID'!B53)</f>
        <v/>
      </c>
      <c r="C53" s="329" t="str">
        <f>IF('Ingoing substances_DID'!G53="","",'Ingoing substances_DID'!G53)</f>
        <v/>
      </c>
      <c r="D53" s="331" t="str">
        <f>IF(OR('Ingoing Substances'!Q53="N",'Ingoing substances_DID'!O53="R"),"",C53)</f>
        <v/>
      </c>
      <c r="E53" s="376" t="str">
        <f>IF(OR('Ingoing Substances'!T53="N",'Ingoing substances_DID'!P53="Y"),"",C53)</f>
        <v/>
      </c>
      <c r="F53" s="384" t="str">
        <f>IF(B53="","",C53*Product!$C$38/100)</f>
        <v/>
      </c>
      <c r="G53" s="330" t="str">
        <f>IF(B53="","",F53*'Ingoing substances_DID'!M53/'Ingoing substances_DID'!N53*1000)</f>
        <v/>
      </c>
      <c r="H53" s="331" t="str">
        <f>IF(B53="","",(IF(OR('Ingoing Substances'!O53="N",'Ingoing substances_DID'!O53="R"),"",F53)))</f>
        <v/>
      </c>
      <c r="I53" s="331" t="str">
        <f>IF(B53="","",IF(OR('Ingoing Substances'!O53="N",'Ingoing substances_DID'!Q53="Y"),"",F53))</f>
        <v/>
      </c>
      <c r="J53" s="385" t="str">
        <f>IF('Ingoing Substances'!U53="","",'Ingoing Substances'!U53*F53/100)</f>
        <v/>
      </c>
      <c r="K53" s="384" t="str">
        <f>IF(B53="","",C53*Product!$D$38/100)</f>
        <v/>
      </c>
      <c r="L53" s="330" t="str">
        <f>IF(B53="","",K53*'Ingoing substances_DID'!M53/'Ingoing substances_DID'!N53*1000)</f>
        <v/>
      </c>
      <c r="M53" s="332" t="str">
        <f>IF(B53="","",(IF(OR('Ingoing Substances'!O53="N",'Ingoing substances_DID'!O53="R"),"",K53)))</f>
        <v/>
      </c>
      <c r="N53" s="332" t="str">
        <f>IF(B53="","",IF(OR('Ingoing Substances'!O53="N",'Ingoing substances_DID'!Q53="Y"),"",K53))</f>
        <v/>
      </c>
      <c r="O53" s="385" t="str">
        <f>IF('Ingoing Substances'!U53="","",'Ingoing Substances'!U53*K53/100)</f>
        <v/>
      </c>
      <c r="P53" s="384" t="str">
        <f>IF(B53="","",C53*Product!$E$38/100)</f>
        <v/>
      </c>
      <c r="Q53" s="330" t="str">
        <f>IF(B53="","",P53*'Ingoing substances_DID'!M53/'Ingoing substances_DID'!N53*1000)</f>
        <v/>
      </c>
      <c r="R53" s="332" t="str">
        <f>IF(B53="","",(IF(OR('Ingoing Substances'!O53="N",'Ingoing substances_DID'!O53="R"),"",P53)))</f>
        <v/>
      </c>
      <c r="S53" s="332" t="str">
        <f>IF(B53="","",IF(OR('Ingoing Substances'!O53="N",'Ingoing substances_DID'!Q53="Y"),"",P53))</f>
        <v/>
      </c>
      <c r="T53" s="385" t="str">
        <f>IF('Ingoing Substances'!U53="","",'Ingoing Substances'!U53*P53/100)</f>
        <v/>
      </c>
    </row>
    <row r="54" spans="1:20" x14ac:dyDescent="0.15">
      <c r="A54" s="37">
        <v>43</v>
      </c>
      <c r="B54" s="328" t="str">
        <f>IF('Ingoing substances_DID'!B54="","",'Ingoing substances_DID'!B54)</f>
        <v/>
      </c>
      <c r="C54" s="329" t="str">
        <f>IF('Ingoing substances_DID'!G54="","",'Ingoing substances_DID'!G54)</f>
        <v/>
      </c>
      <c r="D54" s="331" t="str">
        <f>IF(OR('Ingoing Substances'!Q54="N",'Ingoing substances_DID'!O54="R"),"",C54)</f>
        <v/>
      </c>
      <c r="E54" s="376" t="str">
        <f>IF(OR('Ingoing Substances'!T54="N",'Ingoing substances_DID'!P54="Y"),"",C54)</f>
        <v/>
      </c>
      <c r="F54" s="384" t="str">
        <f>IF(B54="","",C54*Product!$C$38/100)</f>
        <v/>
      </c>
      <c r="G54" s="330" t="str">
        <f>IF(B54="","",F54*'Ingoing substances_DID'!M54/'Ingoing substances_DID'!N54*1000)</f>
        <v/>
      </c>
      <c r="H54" s="331" t="str">
        <f>IF(B54="","",(IF(OR('Ingoing Substances'!O54="N",'Ingoing substances_DID'!O54="R"),"",F54)))</f>
        <v/>
      </c>
      <c r="I54" s="331" t="str">
        <f>IF(B54="","",IF(OR('Ingoing Substances'!O54="N",'Ingoing substances_DID'!Q54="Y"),"",F54))</f>
        <v/>
      </c>
      <c r="J54" s="385" t="str">
        <f>IF('Ingoing Substances'!U54="","",'Ingoing Substances'!U54*F54/100)</f>
        <v/>
      </c>
      <c r="K54" s="384" t="str">
        <f>IF(B54="","",C54*Product!$D$38/100)</f>
        <v/>
      </c>
      <c r="L54" s="330" t="str">
        <f>IF(B54="","",K54*'Ingoing substances_DID'!M54/'Ingoing substances_DID'!N54*1000)</f>
        <v/>
      </c>
      <c r="M54" s="332" t="str">
        <f>IF(B54="","",(IF(OR('Ingoing Substances'!O54="N",'Ingoing substances_DID'!O54="R"),"",K54)))</f>
        <v/>
      </c>
      <c r="N54" s="332" t="str">
        <f>IF(B54="","",IF(OR('Ingoing Substances'!O54="N",'Ingoing substances_DID'!Q54="Y"),"",K54))</f>
        <v/>
      </c>
      <c r="O54" s="385" t="str">
        <f>IF('Ingoing Substances'!U54="","",'Ingoing Substances'!U54*K54/100)</f>
        <v/>
      </c>
      <c r="P54" s="384" t="str">
        <f>IF(B54="","",C54*Product!$E$38/100)</f>
        <v/>
      </c>
      <c r="Q54" s="330" t="str">
        <f>IF(B54="","",P54*'Ingoing substances_DID'!M54/'Ingoing substances_DID'!N54*1000)</f>
        <v/>
      </c>
      <c r="R54" s="332" t="str">
        <f>IF(B54="","",(IF(OR('Ingoing Substances'!O54="N",'Ingoing substances_DID'!O54="R"),"",P54)))</f>
        <v/>
      </c>
      <c r="S54" s="332" t="str">
        <f>IF(B54="","",IF(OR('Ingoing Substances'!O54="N",'Ingoing substances_DID'!Q54="Y"),"",P54))</f>
        <v/>
      </c>
      <c r="T54" s="385" t="str">
        <f>IF('Ingoing Substances'!U54="","",'Ingoing Substances'!U54*P54/100)</f>
        <v/>
      </c>
    </row>
    <row r="55" spans="1:20" x14ac:dyDescent="0.15">
      <c r="A55" s="37">
        <v>44</v>
      </c>
      <c r="B55" s="328" t="str">
        <f>IF('Ingoing substances_DID'!B55="","",'Ingoing substances_DID'!B55)</f>
        <v/>
      </c>
      <c r="C55" s="329" t="str">
        <f>IF('Ingoing substances_DID'!G55="","",'Ingoing substances_DID'!G55)</f>
        <v/>
      </c>
      <c r="D55" s="331" t="str">
        <f>IF(OR('Ingoing Substances'!Q55="N",'Ingoing substances_DID'!O55="R"),"",C55)</f>
        <v/>
      </c>
      <c r="E55" s="376" t="str">
        <f>IF(OR('Ingoing Substances'!T55="N",'Ingoing substances_DID'!P55="Y"),"",C55)</f>
        <v/>
      </c>
      <c r="F55" s="384" t="str">
        <f>IF(B55="","",C55*Product!$C$38/100)</f>
        <v/>
      </c>
      <c r="G55" s="330" t="str">
        <f>IF(B55="","",F55*'Ingoing substances_DID'!M55/'Ingoing substances_DID'!N55*1000)</f>
        <v/>
      </c>
      <c r="H55" s="331" t="str">
        <f>IF(B55="","",(IF(OR('Ingoing Substances'!O55="N",'Ingoing substances_DID'!O55="R"),"",F55)))</f>
        <v/>
      </c>
      <c r="I55" s="331" t="str">
        <f>IF(B55="","",IF(OR('Ingoing Substances'!O55="N",'Ingoing substances_DID'!Q55="Y"),"",F55))</f>
        <v/>
      </c>
      <c r="J55" s="385" t="str">
        <f>IF('Ingoing Substances'!U55="","",'Ingoing Substances'!U55*F55/100)</f>
        <v/>
      </c>
      <c r="K55" s="384" t="str">
        <f>IF(B55="","",C55*Product!$D$38/100)</f>
        <v/>
      </c>
      <c r="L55" s="330" t="str">
        <f>IF(B55="","",K55*'Ingoing substances_DID'!M55/'Ingoing substances_DID'!N55*1000)</f>
        <v/>
      </c>
      <c r="M55" s="332" t="str">
        <f>IF(B55="","",(IF(OR('Ingoing Substances'!O55="N",'Ingoing substances_DID'!O55="R"),"",K55)))</f>
        <v/>
      </c>
      <c r="N55" s="332" t="str">
        <f>IF(B55="","",IF(OR('Ingoing Substances'!O55="N",'Ingoing substances_DID'!Q55="Y"),"",K55))</f>
        <v/>
      </c>
      <c r="O55" s="385" t="str">
        <f>IF('Ingoing Substances'!U55="","",'Ingoing Substances'!U55*K55/100)</f>
        <v/>
      </c>
      <c r="P55" s="384" t="str">
        <f>IF(B55="","",C55*Product!$E$38/100)</f>
        <v/>
      </c>
      <c r="Q55" s="330" t="str">
        <f>IF(B55="","",P55*'Ingoing substances_DID'!M55/'Ingoing substances_DID'!N55*1000)</f>
        <v/>
      </c>
      <c r="R55" s="332" t="str">
        <f>IF(B55="","",(IF(OR('Ingoing Substances'!O55="N",'Ingoing substances_DID'!O55="R"),"",P55)))</f>
        <v/>
      </c>
      <c r="S55" s="332" t="str">
        <f>IF(B55="","",IF(OR('Ingoing Substances'!O55="N",'Ingoing substances_DID'!Q55="Y"),"",P55))</f>
        <v/>
      </c>
      <c r="T55" s="385" t="str">
        <f>IF('Ingoing Substances'!U55="","",'Ingoing Substances'!U55*P55/100)</f>
        <v/>
      </c>
    </row>
    <row r="56" spans="1:20" x14ac:dyDescent="0.15">
      <c r="A56" s="37">
        <v>45</v>
      </c>
      <c r="B56" s="328" t="str">
        <f>IF('Ingoing substances_DID'!B56="","",'Ingoing substances_DID'!B56)</f>
        <v/>
      </c>
      <c r="C56" s="329" t="str">
        <f>IF('Ingoing substances_DID'!G56="","",'Ingoing substances_DID'!G56)</f>
        <v/>
      </c>
      <c r="D56" s="331" t="str">
        <f>IF(OR('Ingoing Substances'!Q56="N",'Ingoing substances_DID'!O56="R"),"",C56)</f>
        <v/>
      </c>
      <c r="E56" s="376" t="str">
        <f>IF(OR('Ingoing Substances'!T56="N",'Ingoing substances_DID'!P56="Y"),"",C56)</f>
        <v/>
      </c>
      <c r="F56" s="384" t="str">
        <f>IF(B56="","",C56*Product!$C$38/100)</f>
        <v/>
      </c>
      <c r="G56" s="330" t="str">
        <f>IF(B56="","",F56*'Ingoing substances_DID'!M56/'Ingoing substances_DID'!N56*1000)</f>
        <v/>
      </c>
      <c r="H56" s="331" t="str">
        <f>IF(B56="","",(IF(OR('Ingoing Substances'!O56="N",'Ingoing substances_DID'!O56="R"),"",F56)))</f>
        <v/>
      </c>
      <c r="I56" s="331" t="str">
        <f>IF(B56="","",IF(OR('Ingoing Substances'!O56="N",'Ingoing substances_DID'!Q56="Y"),"",F56))</f>
        <v/>
      </c>
      <c r="J56" s="385" t="str">
        <f>IF('Ingoing Substances'!U56="","",'Ingoing Substances'!U56*F56/100)</f>
        <v/>
      </c>
      <c r="K56" s="384" t="str">
        <f>IF(B56="","",C56*Product!$D$38/100)</f>
        <v/>
      </c>
      <c r="L56" s="330" t="str">
        <f>IF(B56="","",K56*'Ingoing substances_DID'!M56/'Ingoing substances_DID'!N56*1000)</f>
        <v/>
      </c>
      <c r="M56" s="332" t="str">
        <f>IF(B56="","",(IF(OR('Ingoing Substances'!O56="N",'Ingoing substances_DID'!O56="R"),"",K56)))</f>
        <v/>
      </c>
      <c r="N56" s="332" t="str">
        <f>IF(B56="","",IF(OR('Ingoing Substances'!O56="N",'Ingoing substances_DID'!Q56="Y"),"",K56))</f>
        <v/>
      </c>
      <c r="O56" s="385" t="str">
        <f>IF('Ingoing Substances'!U56="","",'Ingoing Substances'!U56*K56/100)</f>
        <v/>
      </c>
      <c r="P56" s="384" t="str">
        <f>IF(B56="","",C56*Product!$E$38/100)</f>
        <v/>
      </c>
      <c r="Q56" s="330" t="str">
        <f>IF(B56="","",P56*'Ingoing substances_DID'!M56/'Ingoing substances_DID'!N56*1000)</f>
        <v/>
      </c>
      <c r="R56" s="332" t="str">
        <f>IF(B56="","",(IF(OR('Ingoing Substances'!O56="N",'Ingoing substances_DID'!O56="R"),"",P56)))</f>
        <v/>
      </c>
      <c r="S56" s="332" t="str">
        <f>IF(B56="","",IF(OR('Ingoing Substances'!O56="N",'Ingoing substances_DID'!Q56="Y"),"",P56))</f>
        <v/>
      </c>
      <c r="T56" s="385" t="str">
        <f>IF('Ingoing Substances'!U56="","",'Ingoing Substances'!U56*P56/100)</f>
        <v/>
      </c>
    </row>
    <row r="57" spans="1:20" x14ac:dyDescent="0.15">
      <c r="A57" s="37">
        <v>46</v>
      </c>
      <c r="B57" s="328" t="str">
        <f>IF('Ingoing substances_DID'!B57="","",'Ingoing substances_DID'!B57)</f>
        <v/>
      </c>
      <c r="C57" s="329" t="str">
        <f>IF('Ingoing substances_DID'!G57="","",'Ingoing substances_DID'!G57)</f>
        <v/>
      </c>
      <c r="D57" s="331" t="str">
        <f>IF(OR('Ingoing Substances'!Q57="N",'Ingoing substances_DID'!O57="R"),"",C57)</f>
        <v/>
      </c>
      <c r="E57" s="376" t="str">
        <f>IF(OR('Ingoing Substances'!T57="N",'Ingoing substances_DID'!P57="Y"),"",C57)</f>
        <v/>
      </c>
      <c r="F57" s="384" t="str">
        <f>IF(B57="","",C57*Product!$C$38/100)</f>
        <v/>
      </c>
      <c r="G57" s="330" t="str">
        <f>IF(B57="","",F57*'Ingoing substances_DID'!M57/'Ingoing substances_DID'!N57*1000)</f>
        <v/>
      </c>
      <c r="H57" s="331" t="str">
        <f>IF(B57="","",(IF(OR('Ingoing Substances'!O57="N",'Ingoing substances_DID'!O57="R"),"",F57)))</f>
        <v/>
      </c>
      <c r="I57" s="331" t="str">
        <f>IF(B57="","",IF(OR('Ingoing Substances'!O57="N",'Ingoing substances_DID'!Q57="Y"),"",F57))</f>
        <v/>
      </c>
      <c r="J57" s="385" t="str">
        <f>IF('Ingoing Substances'!U57="","",'Ingoing Substances'!U57*F57/100)</f>
        <v/>
      </c>
      <c r="K57" s="384" t="str">
        <f>IF(B57="","",C57*Product!$D$38/100)</f>
        <v/>
      </c>
      <c r="L57" s="330" t="str">
        <f>IF(B57="","",K57*'Ingoing substances_DID'!M57/'Ingoing substances_DID'!N57*1000)</f>
        <v/>
      </c>
      <c r="M57" s="332" t="str">
        <f>IF(B57="","",(IF(OR('Ingoing Substances'!O57="N",'Ingoing substances_DID'!O57="R"),"",K57)))</f>
        <v/>
      </c>
      <c r="N57" s="332" t="str">
        <f>IF(B57="","",IF(OR('Ingoing Substances'!O57="N",'Ingoing substances_DID'!Q57="Y"),"",K57))</f>
        <v/>
      </c>
      <c r="O57" s="385" t="str">
        <f>IF('Ingoing Substances'!U57="","",'Ingoing Substances'!U57*K57/100)</f>
        <v/>
      </c>
      <c r="P57" s="384" t="str">
        <f>IF(B57="","",C57*Product!$E$38/100)</f>
        <v/>
      </c>
      <c r="Q57" s="330" t="str">
        <f>IF(B57="","",P57*'Ingoing substances_DID'!M57/'Ingoing substances_DID'!N57*1000)</f>
        <v/>
      </c>
      <c r="R57" s="332" t="str">
        <f>IF(B57="","",(IF(OR('Ingoing Substances'!O57="N",'Ingoing substances_DID'!O57="R"),"",P57)))</f>
        <v/>
      </c>
      <c r="S57" s="332" t="str">
        <f>IF(B57="","",IF(OR('Ingoing Substances'!O57="N",'Ingoing substances_DID'!Q57="Y"),"",P57))</f>
        <v/>
      </c>
      <c r="T57" s="385" t="str">
        <f>IF('Ingoing Substances'!U57="","",'Ingoing Substances'!U57*P57/100)</f>
        <v/>
      </c>
    </row>
    <row r="58" spans="1:20" x14ac:dyDescent="0.15">
      <c r="A58" s="37">
        <v>47</v>
      </c>
      <c r="B58" s="328" t="str">
        <f>IF('Ingoing substances_DID'!B58="","",'Ingoing substances_DID'!B58)</f>
        <v/>
      </c>
      <c r="C58" s="329" t="str">
        <f>IF('Ingoing substances_DID'!G58="","",'Ingoing substances_DID'!G58)</f>
        <v/>
      </c>
      <c r="D58" s="331" t="str">
        <f>IF(OR('Ingoing Substances'!Q58="N",'Ingoing substances_DID'!O58="R"),"",C58)</f>
        <v/>
      </c>
      <c r="E58" s="376" t="str">
        <f>IF(OR('Ingoing Substances'!T58="N",'Ingoing substances_DID'!P58="Y"),"",C58)</f>
        <v/>
      </c>
      <c r="F58" s="384" t="str">
        <f>IF(B58="","",C58*Product!$C$38/100)</f>
        <v/>
      </c>
      <c r="G58" s="330" t="str">
        <f>IF(B58="","",F58*'Ingoing substances_DID'!M58/'Ingoing substances_DID'!N58*1000)</f>
        <v/>
      </c>
      <c r="H58" s="331" t="str">
        <f>IF(B58="","",(IF(OR('Ingoing Substances'!O58="N",'Ingoing substances_DID'!O58="R"),"",F58)))</f>
        <v/>
      </c>
      <c r="I58" s="331" t="str">
        <f>IF(B58="","",IF(OR('Ingoing Substances'!O58="N",'Ingoing substances_DID'!Q58="Y"),"",F58))</f>
        <v/>
      </c>
      <c r="J58" s="385" t="str">
        <f>IF('Ingoing Substances'!U58="","",'Ingoing Substances'!U58*F58/100)</f>
        <v/>
      </c>
      <c r="K58" s="384" t="str">
        <f>IF(B58="","",C58*Product!$D$38/100)</f>
        <v/>
      </c>
      <c r="L58" s="330" t="str">
        <f>IF(B58="","",K58*'Ingoing substances_DID'!M58/'Ingoing substances_DID'!N58*1000)</f>
        <v/>
      </c>
      <c r="M58" s="332" t="str">
        <f>IF(B58="","",(IF(OR('Ingoing Substances'!O58="N",'Ingoing substances_DID'!O58="R"),"",K58)))</f>
        <v/>
      </c>
      <c r="N58" s="332" t="str">
        <f>IF(B58="","",IF(OR('Ingoing Substances'!O58="N",'Ingoing substances_DID'!Q58="Y"),"",K58))</f>
        <v/>
      </c>
      <c r="O58" s="385" t="str">
        <f>IF('Ingoing Substances'!U58="","",'Ingoing Substances'!U58*K58/100)</f>
        <v/>
      </c>
      <c r="P58" s="384" t="str">
        <f>IF(B58="","",C58*Product!$E$38/100)</f>
        <v/>
      </c>
      <c r="Q58" s="330" t="str">
        <f>IF(B58="","",P58*'Ingoing substances_DID'!M58/'Ingoing substances_DID'!N58*1000)</f>
        <v/>
      </c>
      <c r="R58" s="332" t="str">
        <f>IF(B58="","",(IF(OR('Ingoing Substances'!O58="N",'Ingoing substances_DID'!O58="R"),"",P58)))</f>
        <v/>
      </c>
      <c r="S58" s="332" t="str">
        <f>IF(B58="","",IF(OR('Ingoing Substances'!O58="N",'Ingoing substances_DID'!Q58="Y"),"",P58))</f>
        <v/>
      </c>
      <c r="T58" s="385" t="str">
        <f>IF('Ingoing Substances'!U58="","",'Ingoing Substances'!U58*P58/100)</f>
        <v/>
      </c>
    </row>
    <row r="59" spans="1:20" x14ac:dyDescent="0.15">
      <c r="A59" s="37">
        <v>48</v>
      </c>
      <c r="B59" s="328" t="str">
        <f>IF('Ingoing substances_DID'!B59="","",'Ingoing substances_DID'!B59)</f>
        <v/>
      </c>
      <c r="C59" s="329" t="str">
        <f>IF('Ingoing substances_DID'!G59="","",'Ingoing substances_DID'!G59)</f>
        <v/>
      </c>
      <c r="D59" s="331" t="str">
        <f>IF(OR('Ingoing Substances'!Q59="N",'Ingoing substances_DID'!O59="R"),"",C59)</f>
        <v/>
      </c>
      <c r="E59" s="376" t="str">
        <f>IF(OR('Ingoing Substances'!T59="N",'Ingoing substances_DID'!P59="Y"),"",C59)</f>
        <v/>
      </c>
      <c r="F59" s="384" t="str">
        <f>IF(B59="","",C59*Product!$C$38/100)</f>
        <v/>
      </c>
      <c r="G59" s="330" t="str">
        <f>IF(B59="","",F59*'Ingoing substances_DID'!M59/'Ingoing substances_DID'!N59*1000)</f>
        <v/>
      </c>
      <c r="H59" s="331" t="str">
        <f>IF(B59="","",(IF(OR('Ingoing Substances'!O59="N",'Ingoing substances_DID'!O59="R"),"",F59)))</f>
        <v/>
      </c>
      <c r="I59" s="331" t="str">
        <f>IF(B59="","",IF(OR('Ingoing Substances'!O59="N",'Ingoing substances_DID'!Q59="Y"),"",F59))</f>
        <v/>
      </c>
      <c r="J59" s="385" t="str">
        <f>IF('Ingoing Substances'!U59="","",'Ingoing Substances'!U59*F59/100)</f>
        <v/>
      </c>
      <c r="K59" s="384" t="str">
        <f>IF(B59="","",C59*Product!$D$38/100)</f>
        <v/>
      </c>
      <c r="L59" s="330" t="str">
        <f>IF(B59="","",K59*'Ingoing substances_DID'!M59/'Ingoing substances_DID'!N59*1000)</f>
        <v/>
      </c>
      <c r="M59" s="332" t="str">
        <f>IF(B59="","",(IF(OR('Ingoing Substances'!O59="N",'Ingoing substances_DID'!O59="R"),"",K59)))</f>
        <v/>
      </c>
      <c r="N59" s="332" t="str">
        <f>IF(B59="","",IF(OR('Ingoing Substances'!O59="N",'Ingoing substances_DID'!Q59="Y"),"",K59))</f>
        <v/>
      </c>
      <c r="O59" s="385" t="str">
        <f>IF('Ingoing Substances'!U59="","",'Ingoing Substances'!U59*K59/100)</f>
        <v/>
      </c>
      <c r="P59" s="384" t="str">
        <f>IF(B59="","",C59*Product!$E$38/100)</f>
        <v/>
      </c>
      <c r="Q59" s="330" t="str">
        <f>IF(B59="","",P59*'Ingoing substances_DID'!M59/'Ingoing substances_DID'!N59*1000)</f>
        <v/>
      </c>
      <c r="R59" s="332" t="str">
        <f>IF(B59="","",(IF(OR('Ingoing Substances'!O59="N",'Ingoing substances_DID'!O59="R"),"",P59)))</f>
        <v/>
      </c>
      <c r="S59" s="332" t="str">
        <f>IF(B59="","",IF(OR('Ingoing Substances'!O59="N",'Ingoing substances_DID'!Q59="Y"),"",P59))</f>
        <v/>
      </c>
      <c r="T59" s="385" t="str">
        <f>IF('Ingoing Substances'!U59="","",'Ingoing Substances'!U59*P59/100)</f>
        <v/>
      </c>
    </row>
    <row r="60" spans="1:20" x14ac:dyDescent="0.15">
      <c r="A60" s="37">
        <v>49</v>
      </c>
      <c r="B60" s="328" t="str">
        <f>IF('Ingoing substances_DID'!B60="","",'Ingoing substances_DID'!B60)</f>
        <v/>
      </c>
      <c r="C60" s="329" t="str">
        <f>IF('Ingoing substances_DID'!G60="","",'Ingoing substances_DID'!G60)</f>
        <v/>
      </c>
      <c r="D60" s="331" t="str">
        <f>IF(OR('Ingoing Substances'!Q60="N",'Ingoing substances_DID'!O60="R"),"",C60)</f>
        <v/>
      </c>
      <c r="E60" s="376" t="str">
        <f>IF(OR('Ingoing Substances'!T60="N",'Ingoing substances_DID'!P60="Y"),"",C60)</f>
        <v/>
      </c>
      <c r="F60" s="384" t="str">
        <f>IF(B60="","",C60*Product!$C$38/100)</f>
        <v/>
      </c>
      <c r="G60" s="330" t="str">
        <f>IF(B60="","",F60*'Ingoing substances_DID'!M60/'Ingoing substances_DID'!N60*1000)</f>
        <v/>
      </c>
      <c r="H60" s="331" t="str">
        <f>IF(B60="","",(IF(OR('Ingoing Substances'!O60="N",'Ingoing substances_DID'!O60="R"),"",F60)))</f>
        <v/>
      </c>
      <c r="I60" s="331" t="str">
        <f>IF(B60="","",IF(OR('Ingoing Substances'!O60="N",'Ingoing substances_DID'!Q60="Y"),"",F60))</f>
        <v/>
      </c>
      <c r="J60" s="385" t="str">
        <f>IF('Ingoing Substances'!U60="","",'Ingoing Substances'!U60*F60/100)</f>
        <v/>
      </c>
      <c r="K60" s="384" t="str">
        <f>IF(B60="","",C60*Product!$D$38/100)</f>
        <v/>
      </c>
      <c r="L60" s="330" t="str">
        <f>IF(B60="","",K60*'Ingoing substances_DID'!M60/'Ingoing substances_DID'!N60*1000)</f>
        <v/>
      </c>
      <c r="M60" s="332" t="str">
        <f>IF(B60="","",(IF(OR('Ingoing Substances'!O60="N",'Ingoing substances_DID'!O60="R"),"",K60)))</f>
        <v/>
      </c>
      <c r="N60" s="332" t="str">
        <f>IF(B60="","",IF(OR('Ingoing Substances'!O60="N",'Ingoing substances_DID'!Q60="Y"),"",K60))</f>
        <v/>
      </c>
      <c r="O60" s="385" t="str">
        <f>IF('Ingoing Substances'!U60="","",'Ingoing Substances'!U60*K60/100)</f>
        <v/>
      </c>
      <c r="P60" s="384" t="str">
        <f>IF(B60="","",C60*Product!$E$38/100)</f>
        <v/>
      </c>
      <c r="Q60" s="330" t="str">
        <f>IF(B60="","",P60*'Ingoing substances_DID'!M60/'Ingoing substances_DID'!N60*1000)</f>
        <v/>
      </c>
      <c r="R60" s="332" t="str">
        <f>IF(B60="","",(IF(OR('Ingoing Substances'!O60="N",'Ingoing substances_DID'!O60="R"),"",P60)))</f>
        <v/>
      </c>
      <c r="S60" s="332" t="str">
        <f>IF(B60="","",IF(OR('Ingoing Substances'!O60="N",'Ingoing substances_DID'!Q60="Y"),"",P60))</f>
        <v/>
      </c>
      <c r="T60" s="385" t="str">
        <f>IF('Ingoing Substances'!U60="","",'Ingoing Substances'!U60*P60/100)</f>
        <v/>
      </c>
    </row>
    <row r="61" spans="1:20" ht="14" thickBot="1" x14ac:dyDescent="0.2">
      <c r="A61" s="37">
        <v>50</v>
      </c>
      <c r="B61" s="328" t="str">
        <f>IF('Ingoing substances_DID'!B61="","",'Ingoing substances_DID'!B61)</f>
        <v/>
      </c>
      <c r="C61" s="329" t="str">
        <f>IF('Ingoing substances_DID'!G61="","",'Ingoing substances_DID'!G61)</f>
        <v/>
      </c>
      <c r="D61" s="331" t="str">
        <f>IF(OR('Ingoing Substances'!Q61="N",'Ingoing substances_DID'!O61="R"),"",C61)</f>
        <v/>
      </c>
      <c r="E61" s="376" t="str">
        <f>IF(OR('Ingoing Substances'!T61="N",'Ingoing substances_DID'!P61="Y"),"",C61)</f>
        <v/>
      </c>
      <c r="F61" s="386" t="str">
        <f>IF(B61="","",C61*Product!$C$38/100)</f>
        <v/>
      </c>
      <c r="G61" s="387" t="str">
        <f>IF(B61="","",F61*'Ingoing substances_DID'!M61/'Ingoing substances_DID'!N61*1000)</f>
        <v/>
      </c>
      <c r="H61" s="388" t="str">
        <f>IF(B61="","",(IF(OR('Ingoing Substances'!O61="N",'Ingoing substances_DID'!O61="R"),"",F61)))</f>
        <v/>
      </c>
      <c r="I61" s="388" t="str">
        <f>IF(B61="","",IF(OR('Ingoing Substances'!O61="N",'Ingoing substances_DID'!Q61="Y"),"",F61))</f>
        <v/>
      </c>
      <c r="J61" s="389" t="str">
        <f>IF('Ingoing Substances'!U61="","",'Ingoing Substances'!U61*F61/100)</f>
        <v/>
      </c>
      <c r="K61" s="386" t="str">
        <f>IF(B61="","",C61*Product!$D$38/100)</f>
        <v/>
      </c>
      <c r="L61" s="387" t="str">
        <f>IF(B61="","",K61*'Ingoing substances_DID'!M61/'Ingoing substances_DID'!N61*1000)</f>
        <v/>
      </c>
      <c r="M61" s="391" t="str">
        <f>IF(B61="","",(IF(OR('Ingoing Substances'!O61="N",'Ingoing substances_DID'!O61="R"),"",K61)))</f>
        <v/>
      </c>
      <c r="N61" s="391" t="str">
        <f>IF(B61="","",IF(OR('Ingoing Substances'!O61="N",'Ingoing substances_DID'!Q61="Y"),"",K61))</f>
        <v/>
      </c>
      <c r="O61" s="389" t="str">
        <f>IF('Ingoing Substances'!U61="","",'Ingoing Substances'!U61*K61/100)</f>
        <v/>
      </c>
      <c r="P61" s="386" t="str">
        <f>IF(B61="","",C61*Product!$E$38/100)</f>
        <v/>
      </c>
      <c r="Q61" s="387" t="str">
        <f>IF(B61="","",P61*'Ingoing substances_DID'!M61/'Ingoing substances_DID'!N61*1000)</f>
        <v/>
      </c>
      <c r="R61" s="391" t="str">
        <f>IF(B61="","",(IF(OR('Ingoing Substances'!O61="N",'Ingoing substances_DID'!O61="R"),"",P61)))</f>
        <v/>
      </c>
      <c r="S61" s="391" t="str">
        <f>IF(B61="","",IF(OR('Ingoing Substances'!O61="N",'Ingoing substances_DID'!Q61="Y"),"",P61))</f>
        <v/>
      </c>
      <c r="T61" s="389" t="str">
        <f>IF('Ingoing Substances'!U61="","",'Ingoing Substances'!U61*P61/100)</f>
        <v/>
      </c>
    </row>
    <row r="62" spans="1:20" ht="14" x14ac:dyDescent="0.15">
      <c r="A62" s="40"/>
      <c r="B62" s="145" t="str">
        <f>'Formulation Pre-Products'!B62</f>
        <v>Sum:</v>
      </c>
      <c r="C62" s="20"/>
      <c r="D62" s="146">
        <f t="shared" ref="D62:I62" si="2">SUM(D13:D61)</f>
        <v>0</v>
      </c>
      <c r="E62" s="333">
        <f t="shared" si="2"/>
        <v>0</v>
      </c>
      <c r="F62" s="20"/>
      <c r="G62" s="377">
        <f t="shared" si="2"/>
        <v>0</v>
      </c>
      <c r="H62" s="377">
        <f t="shared" si="2"/>
        <v>0</v>
      </c>
      <c r="I62" s="377">
        <f t="shared" si="2"/>
        <v>0</v>
      </c>
      <c r="J62" s="377">
        <f t="shared" ref="J62" si="3">SUM(J13:J61)</f>
        <v>0</v>
      </c>
      <c r="K62" s="20"/>
      <c r="L62" s="377">
        <f t="shared" ref="L62:N62" si="4">SUM(L13:L61)</f>
        <v>0</v>
      </c>
      <c r="M62" s="377">
        <f t="shared" si="4"/>
        <v>0</v>
      </c>
      <c r="N62" s="377">
        <f t="shared" si="4"/>
        <v>0</v>
      </c>
      <c r="O62" s="377">
        <f t="shared" ref="O62" si="5">SUM(O13:O61)</f>
        <v>0</v>
      </c>
      <c r="P62" s="20"/>
      <c r="Q62" s="377">
        <f t="shared" ref="Q62:S62" si="6">SUM(Q13:Q61)</f>
        <v>0</v>
      </c>
      <c r="R62" s="377">
        <f t="shared" si="6"/>
        <v>0</v>
      </c>
      <c r="S62" s="377">
        <f t="shared" si="6"/>
        <v>0</v>
      </c>
      <c r="T62" s="377">
        <f t="shared" ref="T62" si="7">SUM(T13:T61)</f>
        <v>0</v>
      </c>
    </row>
    <row r="63" spans="1:20" ht="24" customHeight="1" x14ac:dyDescent="0.15">
      <c r="A63" s="23"/>
      <c r="B63" s="334" t="s">
        <v>475</v>
      </c>
      <c r="C63" s="46"/>
      <c r="D63" s="335" t="str">
        <f>IF(Product!$C$2=Languages!A3,Languages!A47,Languages!B47)</f>
        <v>=aNBO (surf.)</v>
      </c>
      <c r="E63" s="335" t="str">
        <f>IF(Product!$C$2=Languages!A3,Languages!A48,Languages!B48)</f>
        <v>=anNBO (surf. H400/H412)</v>
      </c>
      <c r="F63" s="46"/>
      <c r="G63" s="335" t="str">
        <f>"="&amp;G10</f>
        <v>=CDV chron</v>
      </c>
      <c r="H63" s="335" t="str">
        <f>IF(Product!$C$2=Languages!A3,Languages!A49,Languages!B49)</f>
        <v>=aNBO (org. subst.)</v>
      </c>
      <c r="I63" s="335" t="str">
        <f>IF(Product!$C$2=Languages!A3,Languages!A50,Languages!B50)</f>
        <v>=anNBO (org. subst.)</v>
      </c>
      <c r="J63" s="336" t="s">
        <v>809</v>
      </c>
      <c r="K63" s="46"/>
      <c r="L63" s="335" t="str">
        <f>G63</f>
        <v>=CDV chron</v>
      </c>
      <c r="M63" s="335" t="str">
        <f t="shared" ref="M63:O63" si="8">H63</f>
        <v>=aNBO (org. subst.)</v>
      </c>
      <c r="N63" s="335" t="str">
        <f t="shared" si="8"/>
        <v>=anNBO (org. subst.)</v>
      </c>
      <c r="O63" s="335" t="str">
        <f t="shared" si="8"/>
        <v>=P</v>
      </c>
      <c r="P63" s="46"/>
      <c r="Q63" s="335" t="str">
        <f>L63</f>
        <v>=CDV chron</v>
      </c>
      <c r="R63" s="335" t="str">
        <f t="shared" ref="R63:T63" si="9">M63</f>
        <v>=aNBO (org. subst.)</v>
      </c>
      <c r="S63" s="335" t="str">
        <f t="shared" si="9"/>
        <v>=anNBO (org. subst.)</v>
      </c>
      <c r="T63" s="335" t="str">
        <f t="shared" si="9"/>
        <v>=P</v>
      </c>
    </row>
    <row r="64" spans="1:20" ht="24.75" customHeight="1" x14ac:dyDescent="0.15">
      <c r="A64" s="23"/>
      <c r="B64" s="334" t="s">
        <v>475</v>
      </c>
      <c r="C64" s="337" t="str">
        <f>IF(Product!$C$2=Languages!A3,Languages!A88,Languages!B88)</f>
        <v>Limit</v>
      </c>
      <c r="D64" s="338">
        <v>0</v>
      </c>
      <c r="E64" s="338">
        <v>0</v>
      </c>
      <c r="F64" s="46"/>
      <c r="G64" s="338" t="e">
        <f>VLOOKUP(Product!$C$22,Auswahldaten!$A$113:$AN$151,17,FALSE)</f>
        <v>#N/A</v>
      </c>
      <c r="H64" s="372" t="e">
        <f>VLOOKUP(Product!$C$22,Auswahldaten!$A$113:$AN$151,18,FALSE)</f>
        <v>#N/A</v>
      </c>
      <c r="I64" s="372" t="e">
        <f>VLOOKUP(Product!$C$22,Auswahldaten!$A$113:$AN$151,19,FALSE)</f>
        <v>#N/A</v>
      </c>
      <c r="J64" s="372" t="e">
        <f>VLOOKUP(Product!$C$22,Auswahldaten!$A$113:$AN$151,20,FALSE)</f>
        <v>#N/A</v>
      </c>
      <c r="K64" s="46"/>
      <c r="L64" s="338" t="e">
        <f>VLOOKUP(Product!$C$22,Auswahldaten!$A$113:$AN$151,21,FALSE)</f>
        <v>#N/A</v>
      </c>
      <c r="M64" s="372" t="e">
        <f>VLOOKUP(Product!$C$22,Auswahldaten!$A$113:$AN$151,22,FALSE)</f>
        <v>#N/A</v>
      </c>
      <c r="N64" s="372" t="e">
        <f>VLOOKUP(Product!$C$22,Auswahldaten!$A$113:$AN$151,23,FALSE)</f>
        <v>#N/A</v>
      </c>
      <c r="O64" s="372" t="e">
        <f>VLOOKUP(Product!$C$22,Auswahldaten!$A$113:$AN$151,24,FALSE)</f>
        <v>#N/A</v>
      </c>
      <c r="P64" s="46"/>
      <c r="Q64" s="338" t="e">
        <f>VLOOKUP(Product!$C$22,Auswahldaten!$A$113:$AN$151,25,FALSE)</f>
        <v>#N/A</v>
      </c>
      <c r="R64" s="372" t="e">
        <f>VLOOKUP(Product!$C$22,Auswahldaten!$A$113:$AN$151,26,FALSE)</f>
        <v>#N/A</v>
      </c>
      <c r="S64" s="372" t="e">
        <f>VLOOKUP(Product!$C$22,Auswahldaten!$A$113:$AN$151,27,FALSE)</f>
        <v>#N/A</v>
      </c>
      <c r="T64" s="372" t="e">
        <f>VLOOKUP(Product!$C$22,Auswahldaten!$A$113:$AN$151,28,FALSE)</f>
        <v>#N/A</v>
      </c>
    </row>
    <row r="65" spans="1:20" ht="14" thickBot="1" x14ac:dyDescent="0.2">
      <c r="A65" s="23"/>
      <c r="B65" s="334" t="s">
        <v>475</v>
      </c>
      <c r="C65" s="339" t="str">
        <f>IF(Product!$C$2=Languages!A3,Languages!A89,Languages!B89)</f>
        <v>Result</v>
      </c>
      <c r="D65" s="340" t="str">
        <f>IF(D62=0,"ok","not ok")</f>
        <v>ok</v>
      </c>
      <c r="E65" s="340" t="str">
        <f>IF(E62=0,"ok","not ok")</f>
        <v>ok</v>
      </c>
      <c r="F65" s="46"/>
      <c r="G65" s="340" t="e">
        <f>IF(G62&lt;=G64,"ok","not ok")</f>
        <v>#N/A</v>
      </c>
      <c r="H65" s="341" t="e">
        <f>IF(H62&lt;=H64,"ok","not ok")</f>
        <v>#N/A</v>
      </c>
      <c r="I65" s="340" t="e">
        <f>IF(I62&lt;=I64,"ok","not ok")</f>
        <v>#N/A</v>
      </c>
      <c r="J65" s="340" t="e">
        <f>IF(J62&lt;=J64,"ok","not ok")</f>
        <v>#N/A</v>
      </c>
      <c r="K65" s="46"/>
      <c r="L65" s="340" t="e">
        <f>IF(L62&lt;=L64,"ok","not ok")</f>
        <v>#N/A</v>
      </c>
      <c r="M65" s="341" t="e">
        <f>IF(M62&lt;=M64,"ok","not ok")</f>
        <v>#N/A</v>
      </c>
      <c r="N65" s="340" t="e">
        <f>IF(N62&lt;=N64,"ok","not ok")</f>
        <v>#N/A</v>
      </c>
      <c r="O65" s="340" t="e">
        <f>IF(O62&lt;=O64,"ok","not ok")</f>
        <v>#N/A</v>
      </c>
      <c r="P65" s="46"/>
      <c r="Q65" s="340" t="e">
        <f>IF(Q62&lt;=Q64,"ok","not ok")</f>
        <v>#N/A</v>
      </c>
      <c r="R65" s="341" t="e">
        <f>IF(R62&lt;=R64,"ok","not ok")</f>
        <v>#N/A</v>
      </c>
      <c r="S65" s="340" t="e">
        <f>IF(S62&lt;=S64,"ok","not ok")</f>
        <v>#N/A</v>
      </c>
      <c r="T65" s="340" t="e">
        <f>IF(T62&lt;=T64,"ok","not ok")</f>
        <v>#N/A</v>
      </c>
    </row>
    <row r="66" spans="1:20" ht="17" thickTop="1" x14ac:dyDescent="0.2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 x14ac:dyDescent="0.2">
      <c r="A67" s="16"/>
      <c r="B67" s="687" t="str">
        <f>'Formulation Pre-Products'!B67</f>
        <v>remarks of the applicant</v>
      </c>
      <c r="C67" s="693"/>
      <c r="D67" s="693"/>
      <c r="E67" s="693"/>
      <c r="F67" s="693"/>
      <c r="G67" s="693"/>
      <c r="H67" s="693"/>
      <c r="I67" s="693"/>
      <c r="J67" s="692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6" x14ac:dyDescent="0.2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6" x14ac:dyDescent="0.2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6" x14ac:dyDescent="0.2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6" x14ac:dyDescent="0.2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6" x14ac:dyDescent="0.2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6" x14ac:dyDescent="0.2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6" x14ac:dyDescent="0.2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6" x14ac:dyDescent="0.2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6" x14ac:dyDescent="0.2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6" x14ac:dyDescent="0.2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6" x14ac:dyDescent="0.2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6" x14ac:dyDescent="0.2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6" x14ac:dyDescent="0.2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6" x14ac:dyDescent="0.2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6" x14ac:dyDescent="0.2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6" x14ac:dyDescent="0.2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6" x14ac:dyDescent="0.2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6" x14ac:dyDescent="0.2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6" x14ac:dyDescent="0.2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6" x14ac:dyDescent="0.2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6" x14ac:dyDescent="0.2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6" x14ac:dyDescent="0.2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6" x14ac:dyDescent="0.2">
      <c r="J90" s="18"/>
      <c r="O90" s="18"/>
      <c r="T90" s="18"/>
    </row>
    <row r="91" spans="1:20" ht="16" x14ac:dyDescent="0.2">
      <c r="J91" s="18"/>
      <c r="O91" s="18"/>
      <c r="T91" s="18"/>
    </row>
    <row r="92" spans="1:20" ht="16" x14ac:dyDescent="0.2">
      <c r="J92" s="18"/>
      <c r="O92" s="18"/>
      <c r="T92" s="18"/>
    </row>
    <row r="93" spans="1:20" ht="16" x14ac:dyDescent="0.2">
      <c r="J93" s="18"/>
      <c r="O93" s="18"/>
      <c r="T93" s="18"/>
    </row>
    <row r="94" spans="1:20" ht="16" x14ac:dyDescent="0.2">
      <c r="J94" s="18"/>
      <c r="O94" s="18"/>
      <c r="T94" s="18"/>
    </row>
    <row r="95" spans="1:20" ht="16" x14ac:dyDescent="0.2">
      <c r="J95" s="18"/>
      <c r="O95" s="18"/>
      <c r="T95" s="18"/>
    </row>
    <row r="96" spans="1:20" ht="16" x14ac:dyDescent="0.2">
      <c r="J96" s="18"/>
      <c r="O96" s="18"/>
      <c r="T96" s="18"/>
    </row>
    <row r="97" spans="10:20" ht="16" x14ac:dyDescent="0.2">
      <c r="J97" s="18"/>
      <c r="O97" s="18"/>
      <c r="T97" s="18"/>
    </row>
    <row r="98" spans="10:20" ht="16" x14ac:dyDescent="0.2">
      <c r="J98" s="18"/>
      <c r="O98" s="18"/>
      <c r="T98" s="18"/>
    </row>
    <row r="99" spans="10:20" ht="16" x14ac:dyDescent="0.2">
      <c r="J99" s="18"/>
      <c r="O99" s="18"/>
      <c r="T99" s="18"/>
    </row>
    <row r="100" spans="10:20" ht="16" x14ac:dyDescent="0.2">
      <c r="J100" s="18"/>
      <c r="O100" s="18"/>
      <c r="T100" s="18"/>
    </row>
    <row r="101" spans="10:20" ht="16" x14ac:dyDescent="0.2">
      <c r="J101" s="18"/>
      <c r="O101" s="18"/>
      <c r="T101" s="18"/>
    </row>
    <row r="102" spans="10:20" ht="16" x14ac:dyDescent="0.2">
      <c r="J102" s="18"/>
      <c r="O102" s="18"/>
      <c r="T102" s="18"/>
    </row>
    <row r="103" spans="10:20" ht="16" x14ac:dyDescent="0.2">
      <c r="J103" s="18"/>
      <c r="O103" s="18"/>
      <c r="T103" s="18"/>
    </row>
    <row r="104" spans="10:20" ht="16" x14ac:dyDescent="0.2">
      <c r="J104" s="18"/>
      <c r="O104" s="18"/>
      <c r="T104" s="18"/>
    </row>
    <row r="105" spans="10:20" ht="16" x14ac:dyDescent="0.2">
      <c r="J105" s="18"/>
      <c r="O105" s="18"/>
      <c r="T105" s="18"/>
    </row>
    <row r="106" spans="10:20" ht="16" x14ac:dyDescent="0.2">
      <c r="J106" s="18"/>
      <c r="O106" s="18"/>
      <c r="T106" s="18"/>
    </row>
    <row r="107" spans="10:20" ht="16" x14ac:dyDescent="0.2">
      <c r="J107" s="18"/>
      <c r="O107" s="18"/>
      <c r="T107" s="18"/>
    </row>
    <row r="108" spans="10:20" ht="16" x14ac:dyDescent="0.2">
      <c r="J108" s="18"/>
      <c r="O108" s="18"/>
      <c r="T108" s="18"/>
    </row>
    <row r="109" spans="10:20" ht="16" x14ac:dyDescent="0.2">
      <c r="J109" s="18"/>
      <c r="O109" s="18"/>
      <c r="T109" s="18"/>
    </row>
    <row r="110" spans="10:20" ht="16" x14ac:dyDescent="0.2">
      <c r="J110" s="18"/>
      <c r="O110" s="18"/>
      <c r="T110" s="18"/>
    </row>
    <row r="111" spans="10:20" ht="16" x14ac:dyDescent="0.2">
      <c r="J111" s="18"/>
      <c r="O111" s="18"/>
      <c r="T111" s="18"/>
    </row>
    <row r="112" spans="10:20" ht="16" x14ac:dyDescent="0.2">
      <c r="J112" s="18"/>
      <c r="O112" s="18"/>
      <c r="T112" s="18"/>
    </row>
    <row r="113" spans="10:20" ht="16" x14ac:dyDescent="0.2">
      <c r="J113" s="18"/>
      <c r="O113" s="18"/>
      <c r="T113" s="18"/>
    </row>
    <row r="114" spans="10:20" ht="16" x14ac:dyDescent="0.2">
      <c r="J114" s="18"/>
      <c r="O114" s="18"/>
      <c r="T114" s="18"/>
    </row>
    <row r="115" spans="10:20" ht="16" x14ac:dyDescent="0.2">
      <c r="J115" s="18"/>
      <c r="O115" s="18"/>
      <c r="T115" s="18"/>
    </row>
    <row r="116" spans="10:20" ht="16" x14ac:dyDescent="0.2">
      <c r="J116" s="18"/>
      <c r="O116" s="18"/>
      <c r="T116" s="18"/>
    </row>
    <row r="117" spans="10:20" ht="16" x14ac:dyDescent="0.2">
      <c r="J117" s="18"/>
      <c r="O117" s="18"/>
      <c r="T117" s="18"/>
    </row>
    <row r="118" spans="10:20" ht="16" x14ac:dyDescent="0.2">
      <c r="J118" s="18"/>
      <c r="O118" s="18"/>
      <c r="T118" s="18"/>
    </row>
    <row r="119" spans="10:20" ht="16" x14ac:dyDescent="0.2">
      <c r="J119" s="18"/>
      <c r="O119" s="18"/>
      <c r="T119" s="18"/>
    </row>
    <row r="120" spans="10:20" ht="16" x14ac:dyDescent="0.2">
      <c r="J120" s="18"/>
      <c r="O120" s="18"/>
      <c r="T120" s="18"/>
    </row>
    <row r="121" spans="10:20" ht="16" x14ac:dyDescent="0.2">
      <c r="J121" s="18"/>
      <c r="O121" s="18"/>
      <c r="T121" s="18"/>
    </row>
    <row r="122" spans="10:20" ht="16" x14ac:dyDescent="0.2">
      <c r="J122" s="18"/>
      <c r="O122" s="18"/>
      <c r="T122" s="18"/>
    </row>
    <row r="123" spans="10:20" ht="16" x14ac:dyDescent="0.2">
      <c r="J123" s="18"/>
      <c r="O123" s="18"/>
      <c r="T123" s="18"/>
    </row>
    <row r="124" spans="10:20" ht="16" x14ac:dyDescent="0.2">
      <c r="J124" s="18"/>
      <c r="O124" s="18"/>
      <c r="T124" s="18"/>
    </row>
    <row r="125" spans="10:20" ht="16" x14ac:dyDescent="0.2">
      <c r="J125" s="18"/>
      <c r="O125" s="18"/>
      <c r="T125" s="18"/>
    </row>
    <row r="126" spans="10:20" ht="16" x14ac:dyDescent="0.2">
      <c r="J126" s="18"/>
      <c r="O126" s="18"/>
      <c r="T126" s="18"/>
    </row>
    <row r="127" spans="10:20" ht="16" x14ac:dyDescent="0.2">
      <c r="J127" s="18"/>
      <c r="O127" s="18"/>
      <c r="T127" s="18"/>
    </row>
    <row r="128" spans="10:20" ht="16" x14ac:dyDescent="0.2">
      <c r="J128" s="18"/>
      <c r="O128" s="18"/>
      <c r="T128" s="18"/>
    </row>
    <row r="129" spans="10:20" ht="16" x14ac:dyDescent="0.2">
      <c r="J129" s="18"/>
      <c r="O129" s="18"/>
      <c r="T129" s="18"/>
    </row>
    <row r="130" spans="10:20" ht="16" x14ac:dyDescent="0.2">
      <c r="J130" s="18"/>
      <c r="O130" s="18"/>
      <c r="T130" s="18"/>
    </row>
    <row r="131" spans="10:20" ht="16" x14ac:dyDescent="0.2">
      <c r="J131" s="18"/>
      <c r="O131" s="18"/>
      <c r="T131" s="18"/>
    </row>
    <row r="132" spans="10:20" ht="16" x14ac:dyDescent="0.2">
      <c r="J132" s="18"/>
      <c r="O132" s="18"/>
      <c r="T132" s="18"/>
    </row>
    <row r="133" spans="10:20" ht="16" x14ac:dyDescent="0.2">
      <c r="J133" s="18"/>
      <c r="O133" s="18"/>
      <c r="T133" s="18"/>
    </row>
    <row r="134" spans="10:20" ht="16" x14ac:dyDescent="0.2">
      <c r="J134" s="18"/>
      <c r="O134" s="18"/>
      <c r="T134" s="18"/>
    </row>
    <row r="135" spans="10:20" ht="16" x14ac:dyDescent="0.2">
      <c r="J135" s="18"/>
      <c r="O135" s="18"/>
      <c r="T135" s="18"/>
    </row>
    <row r="136" spans="10:20" ht="16" x14ac:dyDescent="0.2">
      <c r="J136" s="18"/>
      <c r="O136" s="18"/>
      <c r="T136" s="18"/>
    </row>
    <row r="137" spans="10:20" ht="16" x14ac:dyDescent="0.2">
      <c r="J137" s="18"/>
      <c r="O137" s="18"/>
      <c r="T137" s="18"/>
    </row>
    <row r="138" spans="10:20" ht="16" x14ac:dyDescent="0.2">
      <c r="J138" s="18"/>
      <c r="O138" s="18"/>
      <c r="T138" s="18"/>
    </row>
    <row r="139" spans="10:20" ht="16" x14ac:dyDescent="0.2">
      <c r="J139" s="18"/>
      <c r="O139" s="18"/>
      <c r="T139" s="18"/>
    </row>
    <row r="140" spans="10:20" ht="16" x14ac:dyDescent="0.2">
      <c r="J140" s="18"/>
      <c r="O140" s="18"/>
      <c r="T140" s="18"/>
    </row>
    <row r="141" spans="10:20" ht="16" x14ac:dyDescent="0.2">
      <c r="J141" s="18"/>
      <c r="O141" s="18"/>
      <c r="T141" s="18"/>
    </row>
    <row r="142" spans="10:20" ht="16" x14ac:dyDescent="0.2">
      <c r="J142" s="18"/>
      <c r="O142" s="18"/>
      <c r="T142" s="18"/>
    </row>
    <row r="143" spans="10:20" ht="16" x14ac:dyDescent="0.2">
      <c r="J143" s="18"/>
      <c r="O143" s="18"/>
      <c r="T143" s="18"/>
    </row>
    <row r="144" spans="10:20" ht="16" x14ac:dyDescent="0.2">
      <c r="J144" s="18"/>
      <c r="O144" s="18"/>
      <c r="T144" s="18"/>
    </row>
    <row r="145" spans="10:20" ht="16" x14ac:dyDescent="0.2">
      <c r="J145" s="18"/>
      <c r="O145" s="18"/>
      <c r="T145" s="18"/>
    </row>
    <row r="146" spans="10:20" ht="16" x14ac:dyDescent="0.2">
      <c r="J146" s="18"/>
      <c r="O146" s="18"/>
      <c r="T146" s="18"/>
    </row>
    <row r="147" spans="10:20" ht="16" x14ac:dyDescent="0.2">
      <c r="J147" s="18"/>
      <c r="O147" s="18"/>
      <c r="T147" s="18"/>
    </row>
    <row r="148" spans="10:20" ht="16" x14ac:dyDescent="0.2">
      <c r="J148" s="18"/>
      <c r="O148" s="18"/>
      <c r="T148" s="18"/>
    </row>
    <row r="149" spans="10:20" ht="16" x14ac:dyDescent="0.2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 xr:uid="{00000000-0009-0000-0000-000005000000}"/>
  <mergeCells count="16">
    <mergeCell ref="F9:J9"/>
    <mergeCell ref="K9:O9"/>
    <mergeCell ref="P9:T9"/>
    <mergeCell ref="B67:J67"/>
    <mergeCell ref="A6:B6"/>
    <mergeCell ref="C6:F6"/>
    <mergeCell ref="A7:B7"/>
    <mergeCell ref="C7:F7"/>
    <mergeCell ref="A8:B8"/>
    <mergeCell ref="C8:F8"/>
    <mergeCell ref="G1:J1"/>
    <mergeCell ref="D1:F1"/>
    <mergeCell ref="A4:B4"/>
    <mergeCell ref="C4:F4"/>
    <mergeCell ref="A5:B5"/>
    <mergeCell ref="C5:F5"/>
  </mergeCells>
  <conditionalFormatting sqref="H65:I65 D65:E65">
    <cfRule type="beginsWith" dxfId="190" priority="17" operator="beginsWith" text="not">
      <formula>LEFT(D65,LEN("not"))="not"</formula>
    </cfRule>
    <cfRule type="beginsWith" dxfId="189" priority="18" operator="beginsWith" text="ok">
      <formula>LEFT(D65,LEN("ok"))="ok"</formula>
    </cfRule>
  </conditionalFormatting>
  <conditionalFormatting sqref="J65">
    <cfRule type="beginsWith" dxfId="188" priority="15" operator="beginsWith" text="not">
      <formula>LEFT(J65,LEN("not"))="not"</formula>
    </cfRule>
    <cfRule type="beginsWith" dxfId="187" priority="16" operator="beginsWith" text="ok">
      <formula>LEFT(J65,LEN("ok"))="ok"</formula>
    </cfRule>
  </conditionalFormatting>
  <conditionalFormatting sqref="G65">
    <cfRule type="beginsWith" dxfId="186" priority="13" operator="beginsWith" text="not">
      <formula>LEFT(G65,LEN("not"))="not"</formula>
    </cfRule>
    <cfRule type="beginsWith" dxfId="185" priority="14" operator="beginsWith" text="ok">
      <formula>LEFT(G65,LEN("ok"))="ok"</formula>
    </cfRule>
  </conditionalFormatting>
  <conditionalFormatting sqref="M65:N65">
    <cfRule type="beginsWith" dxfId="184" priority="11" operator="beginsWith" text="not">
      <formula>LEFT(M65,LEN("not"))="not"</formula>
    </cfRule>
    <cfRule type="beginsWith" dxfId="183" priority="12" operator="beginsWith" text="ok">
      <formula>LEFT(M65,LEN("ok"))="ok"</formula>
    </cfRule>
  </conditionalFormatting>
  <conditionalFormatting sqref="O65">
    <cfRule type="beginsWith" dxfId="182" priority="9" operator="beginsWith" text="not">
      <formula>LEFT(O65,LEN("not"))="not"</formula>
    </cfRule>
    <cfRule type="beginsWith" dxfId="181" priority="10" operator="beginsWith" text="ok">
      <formula>LEFT(O65,LEN("ok"))="ok"</formula>
    </cfRule>
  </conditionalFormatting>
  <conditionalFormatting sqref="L65">
    <cfRule type="beginsWith" dxfId="180" priority="7" operator="beginsWith" text="not">
      <formula>LEFT(L65,LEN("not"))="not"</formula>
    </cfRule>
    <cfRule type="beginsWith" dxfId="179" priority="8" operator="beginsWith" text="ok">
      <formula>LEFT(L65,LEN("ok"))="ok"</formula>
    </cfRule>
  </conditionalFormatting>
  <conditionalFormatting sqref="R65:S65">
    <cfRule type="beginsWith" dxfId="178" priority="5" operator="beginsWith" text="not">
      <formula>LEFT(R65,LEN("not"))="not"</formula>
    </cfRule>
    <cfRule type="beginsWith" dxfId="177" priority="6" operator="beginsWith" text="ok">
      <formula>LEFT(R65,LEN("ok"))="ok"</formula>
    </cfRule>
  </conditionalFormatting>
  <conditionalFormatting sqref="T65">
    <cfRule type="beginsWith" dxfId="176" priority="3" operator="beginsWith" text="not">
      <formula>LEFT(T65,LEN("not"))="not"</formula>
    </cfRule>
    <cfRule type="beginsWith" dxfId="175" priority="4" operator="beginsWith" text="ok">
      <formula>LEFT(T65,LEN("ok"))="ok"</formula>
    </cfRule>
  </conditionalFormatting>
  <conditionalFormatting sqref="Q65">
    <cfRule type="beginsWith" dxfId="174" priority="1" operator="beginsWith" text="not">
      <formula>LEFT(Q65,LEN("not"))="not"</formula>
    </cfRule>
    <cfRule type="beginsWith" dxfId="173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 xr:uid="{00000000-0002-0000-0500-000000000000}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49"/>
  <sheetViews>
    <sheetView topLeftCell="B1" zoomScaleNormal="100" workbookViewId="0">
      <selection activeCell="B67" sqref="B67:J67"/>
    </sheetView>
  </sheetViews>
  <sheetFormatPr baseColWidth="10" defaultColWidth="11.5" defaultRowHeight="13" x14ac:dyDescent="0.15"/>
  <cols>
    <col min="1" max="1" width="3.6640625" style="97" customWidth="1"/>
    <col min="2" max="2" width="35.33203125" style="9" customWidth="1"/>
    <col min="3" max="3" width="17.33203125" style="97" customWidth="1"/>
    <col min="4" max="4" width="12.33203125" style="34" customWidth="1"/>
    <col min="5" max="5" width="12.83203125" style="34" customWidth="1"/>
    <col min="6" max="6" width="10.6640625" style="34" customWidth="1"/>
    <col min="7" max="7" width="11.6640625" style="34" customWidth="1"/>
    <col min="8" max="8" width="13.6640625" style="34" customWidth="1"/>
    <col min="9" max="9" width="13.6640625" style="9" customWidth="1"/>
    <col min="10" max="10" width="11.5" style="9"/>
    <col min="11" max="11" width="10.6640625" style="34" customWidth="1"/>
    <col min="12" max="12" width="11.6640625" style="34" customWidth="1"/>
    <col min="13" max="13" width="13.6640625" style="34" customWidth="1"/>
    <col min="14" max="14" width="13.6640625" style="9" customWidth="1"/>
    <col min="15" max="15" width="11.5" style="9"/>
    <col min="16" max="16" width="10.6640625" style="34" customWidth="1"/>
    <col min="17" max="17" width="11.6640625" style="34" customWidth="1"/>
    <col min="18" max="18" width="13.6640625" style="34" customWidth="1"/>
    <col min="19" max="19" width="13.6640625" style="9" customWidth="1"/>
    <col min="20" max="20" width="11.5" style="9"/>
  </cols>
  <sheetData>
    <row r="1" spans="1:20" s="7" customFormat="1" ht="16" x14ac:dyDescent="0.2">
      <c r="A1" s="16"/>
      <c r="B1" s="103"/>
      <c r="C1" s="17"/>
      <c r="D1" s="665" t="str">
        <f>Product!G1</f>
        <v>COMMISSION DECISION</v>
      </c>
      <c r="E1" s="706"/>
      <c r="F1" s="666"/>
      <c r="G1" s="684">
        <f>Product!I1</f>
        <v>0</v>
      </c>
      <c r="H1" s="695"/>
      <c r="I1" s="695"/>
      <c r="J1" s="685"/>
      <c r="K1" s="18"/>
      <c r="M1" s="18"/>
      <c r="N1" s="18"/>
      <c r="O1" s="18"/>
      <c r="P1" s="18"/>
      <c r="R1" s="18"/>
      <c r="S1" s="18"/>
      <c r="T1" s="18"/>
    </row>
    <row r="2" spans="1:20" s="7" customFormat="1" ht="16" x14ac:dyDescent="0.2">
      <c r="A2" s="23"/>
      <c r="B2" s="46"/>
      <c r="C2" s="46"/>
      <c r="D2" s="49"/>
      <c r="E2" s="58"/>
      <c r="F2" s="58"/>
      <c r="G2" s="58"/>
      <c r="H2" s="295" t="str">
        <f>Product!I2</f>
        <v>Template March 2020</v>
      </c>
      <c r="I2" s="21"/>
      <c r="J2" s="18"/>
      <c r="K2" s="58"/>
      <c r="L2" s="58"/>
      <c r="M2" s="18"/>
      <c r="N2" s="18"/>
      <c r="O2" s="18"/>
      <c r="P2" s="58"/>
      <c r="Q2" s="58"/>
      <c r="R2" s="18"/>
      <c r="S2" s="18"/>
      <c r="T2" s="18"/>
    </row>
    <row r="3" spans="1:20" s="7" customFormat="1" ht="16" x14ac:dyDescent="0.2">
      <c r="A3" s="23"/>
      <c r="B3" s="46"/>
      <c r="C3" s="46"/>
      <c r="D3" s="49"/>
      <c r="E3" s="104"/>
      <c r="F3" s="104"/>
      <c r="G3" s="104"/>
      <c r="H3" s="237" t="str">
        <f>Product!H4</f>
        <v>Date:</v>
      </c>
      <c r="I3" s="105">
        <f>Product!I4</f>
        <v>0</v>
      </c>
      <c r="J3" s="18"/>
      <c r="K3" s="104"/>
      <c r="L3" s="58"/>
      <c r="M3" s="18"/>
      <c r="N3" s="18"/>
      <c r="O3" s="18"/>
      <c r="P3" s="104"/>
      <c r="Q3" s="58"/>
      <c r="R3" s="18"/>
      <c r="S3" s="18"/>
      <c r="T3" s="18"/>
    </row>
    <row r="4" spans="1:20" s="7" customFormat="1" ht="16" x14ac:dyDescent="0.2">
      <c r="A4" s="670" t="str">
        <f>Product!A4</f>
        <v>Contract number:</v>
      </c>
      <c r="B4" s="671"/>
      <c r="C4" s="717">
        <f>Product!C4</f>
        <v>0</v>
      </c>
      <c r="D4" s="717"/>
      <c r="E4" s="717"/>
      <c r="F4" s="717"/>
      <c r="G4" s="104"/>
      <c r="H4" s="348" t="str">
        <f>Product!H5</f>
        <v>Version:</v>
      </c>
      <c r="I4" s="106">
        <f>Product!I5</f>
        <v>0</v>
      </c>
      <c r="J4" s="18"/>
      <c r="K4" s="18"/>
      <c r="L4" s="58"/>
      <c r="M4" s="18"/>
      <c r="N4" s="18"/>
      <c r="O4" s="18"/>
      <c r="P4" s="18"/>
      <c r="Q4" s="58"/>
      <c r="R4" s="18"/>
      <c r="S4" s="18"/>
      <c r="T4" s="18"/>
    </row>
    <row r="5" spans="1:20" s="7" customFormat="1" ht="16" x14ac:dyDescent="0.2">
      <c r="A5" s="670" t="str">
        <f>Product!A5</f>
        <v>Licence Holder:</v>
      </c>
      <c r="B5" s="671"/>
      <c r="C5" s="717">
        <f>Product!C5</f>
        <v>0</v>
      </c>
      <c r="D5" s="717"/>
      <c r="E5" s="717"/>
      <c r="F5" s="717"/>
      <c r="G5" s="58"/>
      <c r="H5" s="21"/>
      <c r="I5" s="21"/>
      <c r="J5" s="18"/>
      <c r="K5" s="18"/>
      <c r="L5" s="58"/>
      <c r="M5" s="18"/>
      <c r="N5" s="18"/>
      <c r="O5" s="18"/>
      <c r="P5" s="18"/>
      <c r="Q5" s="58"/>
      <c r="R5" s="18"/>
      <c r="S5" s="18"/>
      <c r="T5" s="18"/>
    </row>
    <row r="6" spans="1:20" s="7" customFormat="1" ht="16" x14ac:dyDescent="0.2">
      <c r="A6" s="670" t="str">
        <f>Product!A6</f>
        <v>Distributor / Product name (Country):</v>
      </c>
      <c r="B6" s="671"/>
      <c r="C6" s="717">
        <f>Product!C6</f>
        <v>0</v>
      </c>
      <c r="D6" s="717"/>
      <c r="E6" s="717"/>
      <c r="F6" s="717"/>
      <c r="G6" s="56"/>
      <c r="H6" s="21"/>
      <c r="I6" s="21"/>
      <c r="J6" s="18"/>
      <c r="K6" s="18"/>
      <c r="L6" s="58"/>
      <c r="M6" s="21"/>
      <c r="N6" s="21"/>
      <c r="O6" s="18"/>
      <c r="P6" s="18"/>
      <c r="Q6" s="58"/>
      <c r="R6" s="21"/>
      <c r="S6" s="21"/>
      <c r="T6" s="18"/>
    </row>
    <row r="7" spans="1:20" s="7" customFormat="1" ht="16" x14ac:dyDescent="0.2">
      <c r="A7" s="670" t="str">
        <f>Product!A22</f>
        <v>Type of product:</v>
      </c>
      <c r="B7" s="671"/>
      <c r="C7" s="717">
        <f>Product!C22</f>
        <v>0</v>
      </c>
      <c r="D7" s="717"/>
      <c r="E7" s="717"/>
      <c r="F7" s="717"/>
      <c r="G7" s="56"/>
      <c r="H7" s="21"/>
      <c r="I7" s="21"/>
      <c r="J7" s="18"/>
      <c r="K7" s="18"/>
      <c r="L7" s="56"/>
      <c r="M7" s="21"/>
      <c r="N7" s="21"/>
      <c r="O7" s="18"/>
      <c r="P7" s="18"/>
      <c r="Q7" s="56"/>
      <c r="R7" s="21"/>
      <c r="S7" s="21"/>
      <c r="T7" s="18"/>
    </row>
    <row r="8" spans="1:20" s="7" customFormat="1" ht="14" thickBot="1" x14ac:dyDescent="0.2">
      <c r="A8" s="670" t="str">
        <f>Product!A24</f>
        <v>Form of product:</v>
      </c>
      <c r="B8" s="671"/>
      <c r="C8" s="717">
        <f>Product!C24</f>
        <v>0</v>
      </c>
      <c r="D8" s="717"/>
      <c r="E8" s="717"/>
      <c r="F8" s="718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</row>
    <row r="9" spans="1:20" ht="15" customHeight="1" x14ac:dyDescent="0.15">
      <c r="A9" s="315"/>
      <c r="B9" s="349"/>
      <c r="C9" s="349"/>
      <c r="D9" s="349"/>
      <c r="E9" s="349"/>
      <c r="F9" s="719" t="str">
        <f>IF(Product!$C$2=Languages!A3,Languages!A210,Languages!B210)</f>
        <v>for soft water (&lt;1,5 mmol CaCO3/l)</v>
      </c>
      <c r="G9" s="720"/>
      <c r="H9" s="720"/>
      <c r="I9" s="720"/>
      <c r="J9" s="721"/>
      <c r="K9" s="714" t="str">
        <f>IF(Product!$C$2=Languages!A3,Languages!A211,Languages!B211)</f>
        <v>for medium water (1,5 – 2,5 mmol CaCO3/l)</v>
      </c>
      <c r="L9" s="715"/>
      <c r="M9" s="715"/>
      <c r="N9" s="715"/>
      <c r="O9" s="716"/>
      <c r="P9" s="714" t="str">
        <f>IF(Product!$C$2=Languages!A3,Languages!A212,Languages!B212)</f>
        <v>for hard water (&gt;2,5 mmol CaCO3/l)</v>
      </c>
      <c r="Q9" s="715"/>
      <c r="R9" s="715"/>
      <c r="S9" s="715"/>
      <c r="T9" s="716"/>
    </row>
    <row r="10" spans="1:20" s="7" customFormat="1" ht="46.5" customHeight="1" x14ac:dyDescent="0.15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IF(Product!$C$2=Languages!A3,Languages!A96,Languages!B96)</f>
        <v xml:space="preserve">Surfactant not readily biodegradable </v>
      </c>
      <c r="E10" s="373" t="str">
        <f>IF(Product!$C$2=Languages!A3,Languages!A97,Languages!B97)</f>
        <v xml:space="preserve">Surfactant (H400/H412) anaerobically non-biodegradable </v>
      </c>
      <c r="F10" s="378" t="str">
        <f>IF(Product!$C$2=Languages!A3,Languages!A51,Languages!B51)</f>
        <v>dosage</v>
      </c>
      <c r="G10" s="100" t="str">
        <f>IF(Product!$C$2=Languages!A3,Languages!A90,Languages!B90)</f>
        <v>CDV chron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379" t="str">
        <f>'Ingoing Substances'!U10</f>
        <v>elemental phosphorus</v>
      </c>
      <c r="K10" s="378" t="str">
        <f>F10</f>
        <v>dosage</v>
      </c>
      <c r="L10" s="100" t="str">
        <f t="shared" ref="L10:O11" si="0">G10</f>
        <v>CDV chron</v>
      </c>
      <c r="M10" s="100" t="str">
        <f t="shared" si="0"/>
        <v>Organic substance not readily biodegradable</v>
      </c>
      <c r="N10" s="100" t="str">
        <f t="shared" si="0"/>
        <v>Organic substance anaerobically non-biodegradable</v>
      </c>
      <c r="O10" s="390" t="str">
        <f t="shared" si="0"/>
        <v>elemental phosphorus</v>
      </c>
      <c r="P10" s="378" t="str">
        <f>K10</f>
        <v>dosage</v>
      </c>
      <c r="Q10" s="100" t="str">
        <f t="shared" ref="Q10:T11" si="1">L10</f>
        <v>CDV chron</v>
      </c>
      <c r="R10" s="100" t="str">
        <f t="shared" si="1"/>
        <v>Organic substance not readily biodegradable</v>
      </c>
      <c r="S10" s="100" t="str">
        <f t="shared" si="1"/>
        <v>Organic substance anaerobically non-biodegradable</v>
      </c>
      <c r="T10" s="390" t="str">
        <f t="shared" si="1"/>
        <v>elemental phosphorus</v>
      </c>
    </row>
    <row r="11" spans="1:20" s="7" customFormat="1" ht="34.5" customHeight="1" x14ac:dyDescent="0.15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C11</f>
        <v>mass-% (=g/100g product)</v>
      </c>
      <c r="E11" s="374" t="str">
        <f>C11</f>
        <v>mass-% (=g/100g product)</v>
      </c>
      <c r="F11" s="380" t="str">
        <f>IF(Product!$C$2=Languages!A3,Languages!A52,Languages!B52)</f>
        <v>(in g/...)</v>
      </c>
      <c r="G11" s="86" t="str">
        <f>IF(Product!$C$2=Languages!A3,Languages!A98,Languages!B98)</f>
        <v>(in l/...)</v>
      </c>
      <c r="H11" s="86" t="str">
        <f>F11</f>
        <v>(in g/...)</v>
      </c>
      <c r="I11" s="86" t="str">
        <f>H11</f>
        <v>(in g/...)</v>
      </c>
      <c r="J11" s="381" t="str">
        <f>I11</f>
        <v>(in g/...)</v>
      </c>
      <c r="K11" s="380" t="str">
        <f>F11</f>
        <v>(in g/...)</v>
      </c>
      <c r="L11" s="86" t="str">
        <f t="shared" si="0"/>
        <v>(in l/...)</v>
      </c>
      <c r="M11" s="86" t="str">
        <f t="shared" si="0"/>
        <v>(in g/...)</v>
      </c>
      <c r="N11" s="86" t="str">
        <f t="shared" si="0"/>
        <v>(in g/...)</v>
      </c>
      <c r="O11" s="381" t="str">
        <f t="shared" si="0"/>
        <v>(in g/...)</v>
      </c>
      <c r="P11" s="380" t="str">
        <f>K11</f>
        <v>(in g/...)</v>
      </c>
      <c r="Q11" s="86" t="str">
        <f t="shared" si="1"/>
        <v>(in l/...)</v>
      </c>
      <c r="R11" s="86" t="str">
        <f t="shared" si="1"/>
        <v>(in g/...)</v>
      </c>
      <c r="S11" s="86" t="str">
        <f t="shared" si="1"/>
        <v>(in g/...)</v>
      </c>
      <c r="T11" s="381" t="str">
        <f t="shared" si="1"/>
        <v>(in g/...)</v>
      </c>
    </row>
    <row r="12" spans="1:20" ht="12.75" customHeight="1" x14ac:dyDescent="0.15">
      <c r="A12" s="37">
        <v>1</v>
      </c>
      <c r="B12" s="325" t="str">
        <f>'Formulation Pre-Products'!B12</f>
        <v>water</v>
      </c>
      <c r="C12" s="120" t="str">
        <f>'Ingoing substances_DID'!G12</f>
        <v/>
      </c>
      <c r="D12" s="327" t="s">
        <v>7</v>
      </c>
      <c r="E12" s="375" t="s">
        <v>7</v>
      </c>
      <c r="F12" s="382"/>
      <c r="G12" s="160"/>
      <c r="H12" s="326" t="s">
        <v>7</v>
      </c>
      <c r="I12" s="326" t="s">
        <v>7</v>
      </c>
      <c r="J12" s="383" t="s">
        <v>7</v>
      </c>
      <c r="K12" s="382"/>
      <c r="L12" s="160"/>
      <c r="M12" s="326" t="s">
        <v>7</v>
      </c>
      <c r="N12" s="326" t="s">
        <v>7</v>
      </c>
      <c r="O12" s="383" t="s">
        <v>7</v>
      </c>
      <c r="P12" s="382"/>
      <c r="Q12" s="160"/>
      <c r="R12" s="326" t="s">
        <v>7</v>
      </c>
      <c r="S12" s="326" t="s">
        <v>7</v>
      </c>
      <c r="T12" s="383" t="s">
        <v>7</v>
      </c>
    </row>
    <row r="13" spans="1:20" x14ac:dyDescent="0.15">
      <c r="A13" s="37">
        <v>2</v>
      </c>
      <c r="B13" s="328" t="str">
        <f>IF('Ingoing substances_DID'!B13="","",'Ingoing substances_DID'!B13)</f>
        <v/>
      </c>
      <c r="C13" s="329" t="str">
        <f>IF('Ingoing substances_DID'!G13="","",'Ingoing substances_DID'!G13)</f>
        <v/>
      </c>
      <c r="D13" s="331" t="str">
        <f>IF(OR('Ingoing Substances'!Q13="N",'Ingoing substances_DID'!O13="R"),"",C13)</f>
        <v/>
      </c>
      <c r="E13" s="376" t="str">
        <f>IF(OR('Ingoing Substances'!T13="N",'Ingoing substances_DID'!P13="Y"),"",C13)</f>
        <v/>
      </c>
      <c r="F13" s="384" t="str">
        <f>IF(B13="","",C13*Product!$C$40/100)</f>
        <v/>
      </c>
      <c r="G13" s="330" t="str">
        <f>IF(B13="","",F13*'Ingoing substances_DID'!M13/'Ingoing substances_DID'!N13*1000)</f>
        <v/>
      </c>
      <c r="H13" s="332" t="str">
        <f>IF(B13="","",(IF(OR('Ingoing Substances'!O13="N",'Ingoing substances_DID'!O13="R"),"",F13)))</f>
        <v/>
      </c>
      <c r="I13" s="332" t="str">
        <f>IF(B13="","",IF(OR('Ingoing Substances'!O13="N",'Ingoing substances_DID'!Q13="Y"),"",F13))</f>
        <v/>
      </c>
      <c r="J13" s="385" t="str">
        <f>IF('Ingoing Substances'!U13="","",'Ingoing Substances'!U13*F13/100)</f>
        <v/>
      </c>
      <c r="K13" s="384" t="str">
        <f>IF(B13="","",C13*Product!$D$40/100)</f>
        <v/>
      </c>
      <c r="L13" s="330" t="str">
        <f>IF(B13="","",K13*'Ingoing substances_DID'!M13/'Ingoing substances_DID'!N13*1000)</f>
        <v/>
      </c>
      <c r="M13" s="332" t="str">
        <f>IF(B13="","",(IF(OR('Ingoing Substances'!O13="N",'Ingoing substances_DID'!O13="R"),"",K13)))</f>
        <v/>
      </c>
      <c r="N13" s="332" t="str">
        <f>IF(B13="","",IF(OR('Ingoing Substances'!O13="N",'Ingoing substances_DID'!Q13="Y"),"",K13))</f>
        <v/>
      </c>
      <c r="O13" s="385" t="str">
        <f>IF('Ingoing Substances'!U13="","",'Ingoing Substances'!U13*K13/100)</f>
        <v/>
      </c>
      <c r="P13" s="384" t="str">
        <f>IF(B13="","",C13*Product!$E$40/100)</f>
        <v/>
      </c>
      <c r="Q13" s="330" t="str">
        <f>IF(B13="","",P13*'Ingoing substances_DID'!M13/'Ingoing substances_DID'!N13*1000)</f>
        <v/>
      </c>
      <c r="R13" s="332" t="str">
        <f>IF(B13="","",(IF(OR('Ingoing Substances'!O13="N",'Ingoing substances_DID'!O13="R"),"",P13)))</f>
        <v/>
      </c>
      <c r="S13" s="332" t="str">
        <f>IF(B13="","",IF(OR('Ingoing Substances'!O13="N",'Ingoing substances_DID'!Q13="Y"),"",P13))</f>
        <v/>
      </c>
      <c r="T13" s="385" t="str">
        <f>IF('Ingoing Substances'!U13="","",'Ingoing Substances'!U13*P13/100)</f>
        <v/>
      </c>
    </row>
    <row r="14" spans="1:20" x14ac:dyDescent="0.15">
      <c r="A14" s="37">
        <v>3</v>
      </c>
      <c r="B14" s="328" t="str">
        <f>IF('Ingoing substances_DID'!B14="","",'Ingoing substances_DID'!B14)</f>
        <v/>
      </c>
      <c r="C14" s="329" t="str">
        <f>IF('Ingoing substances_DID'!G14="","",'Ingoing substances_DID'!G14)</f>
        <v/>
      </c>
      <c r="D14" s="331" t="str">
        <f>IF(OR('Ingoing Substances'!Q14="N",'Ingoing substances_DID'!O14="R"),"",C14)</f>
        <v/>
      </c>
      <c r="E14" s="376" t="str">
        <f>IF(OR('Ingoing Substances'!T14="N",'Ingoing substances_DID'!P14="Y"),"",C14)</f>
        <v/>
      </c>
      <c r="F14" s="384" t="str">
        <f>IF(B14="","",C14*Product!$C$40/100)</f>
        <v/>
      </c>
      <c r="G14" s="330" t="str">
        <f>IF(B14="","",F14*'Ingoing substances_DID'!M14/'Ingoing substances_DID'!N14*1000)</f>
        <v/>
      </c>
      <c r="H14" s="331" t="str">
        <f>IF(B14="","",(IF(OR('Ingoing Substances'!O14="N",'Ingoing substances_DID'!O14="R"),"",F14)))</f>
        <v/>
      </c>
      <c r="I14" s="331" t="str">
        <f>IF(B14="","",IF(OR('Ingoing Substances'!O14="N",'Ingoing substances_DID'!Q14="Y"),"",F14))</f>
        <v/>
      </c>
      <c r="J14" s="385" t="str">
        <f>IF('Ingoing Substances'!U14="","",'Ingoing Substances'!U14*F14/100)</f>
        <v/>
      </c>
      <c r="K14" s="384" t="str">
        <f>IF(B14="","",C14*Product!$D$40/100)</f>
        <v/>
      </c>
      <c r="L14" s="330" t="str">
        <f>IF(B14="","",K14*'Ingoing substances_DID'!M14/'Ingoing substances_DID'!N14*1000)</f>
        <v/>
      </c>
      <c r="M14" s="332" t="str">
        <f>IF(B14="","",(IF(OR('Ingoing Substances'!O14="N",'Ingoing substances_DID'!O14="R"),"",K14)))</f>
        <v/>
      </c>
      <c r="N14" s="332" t="str">
        <f>IF(B14="","",IF(OR('Ingoing Substances'!O14="N",'Ingoing substances_DID'!Q14="Y"),"",K14))</f>
        <v/>
      </c>
      <c r="O14" s="385" t="str">
        <f>IF('Ingoing Substances'!U14="","",'Ingoing Substances'!U14*K14/100)</f>
        <v/>
      </c>
      <c r="P14" s="384" t="str">
        <f>IF(B14="","",C14*Product!$E$40/100)</f>
        <v/>
      </c>
      <c r="Q14" s="330" t="str">
        <f>IF(B14="","",P14*'Ingoing substances_DID'!M14/'Ingoing substances_DID'!N14*1000)</f>
        <v/>
      </c>
      <c r="R14" s="332" t="str">
        <f>IF(B14="","",(IF(OR('Ingoing Substances'!O14="N",'Ingoing substances_DID'!O14="R"),"",P14)))</f>
        <v/>
      </c>
      <c r="S14" s="332" t="str">
        <f>IF(B14="","",IF(OR('Ingoing Substances'!O14="N",'Ingoing substances_DID'!Q14="Y"),"",P14))</f>
        <v/>
      </c>
      <c r="T14" s="385" t="str">
        <f>IF('Ingoing Substances'!U14="","",'Ingoing Substances'!U14*P14/100)</f>
        <v/>
      </c>
    </row>
    <row r="15" spans="1:20" x14ac:dyDescent="0.15">
      <c r="A15" s="37">
        <v>4</v>
      </c>
      <c r="B15" s="328" t="str">
        <f>IF('Ingoing substances_DID'!B15="","",'Ingoing substances_DID'!B15)</f>
        <v/>
      </c>
      <c r="C15" s="329" t="str">
        <f>IF('Ingoing substances_DID'!G15="","",'Ingoing substances_DID'!G15)</f>
        <v/>
      </c>
      <c r="D15" s="331" t="str">
        <f>IF(OR('Ingoing Substances'!Q15="N",'Ingoing substances_DID'!O15="R"),"",C15)</f>
        <v/>
      </c>
      <c r="E15" s="376" t="str">
        <f>IF(OR('Ingoing Substances'!T15="N",'Ingoing substances_DID'!P15="Y"),"",C15)</f>
        <v/>
      </c>
      <c r="F15" s="384" t="str">
        <f>IF(B15="","",C15*Product!$C$40/100)</f>
        <v/>
      </c>
      <c r="G15" s="330" t="str">
        <f>IF(B15="","",F15*'Ingoing substances_DID'!M15/'Ingoing substances_DID'!N15*1000)</f>
        <v/>
      </c>
      <c r="H15" s="331" t="str">
        <f>IF(B15="","",(IF(OR('Ingoing Substances'!O15="N",'Ingoing substances_DID'!O15="R"),"",F15)))</f>
        <v/>
      </c>
      <c r="I15" s="331" t="str">
        <f>IF(B15="","",IF(OR('Ingoing Substances'!O15="N",'Ingoing substances_DID'!Q15="Y"),"",F15))</f>
        <v/>
      </c>
      <c r="J15" s="385" t="str">
        <f>IF('Ingoing Substances'!U15="","",'Ingoing Substances'!U15*F15/100)</f>
        <v/>
      </c>
      <c r="K15" s="384" t="str">
        <f>IF(B15="","",C15*Product!$D$40/100)</f>
        <v/>
      </c>
      <c r="L15" s="330" t="str">
        <f>IF(B15="","",K15*'Ingoing substances_DID'!M15/'Ingoing substances_DID'!N15*1000)</f>
        <v/>
      </c>
      <c r="M15" s="332" t="str">
        <f>IF(B15="","",(IF(OR('Ingoing Substances'!O15="N",'Ingoing substances_DID'!O15="R"),"",K15)))</f>
        <v/>
      </c>
      <c r="N15" s="332" t="str">
        <f>IF(B15="","",IF(OR('Ingoing Substances'!O15="N",'Ingoing substances_DID'!Q15="Y"),"",K15))</f>
        <v/>
      </c>
      <c r="O15" s="385" t="str">
        <f>IF('Ingoing Substances'!U15="","",'Ingoing Substances'!U15*K15/100)</f>
        <v/>
      </c>
      <c r="P15" s="384" t="str">
        <f>IF(B15="","",C15*Product!$E$40/100)</f>
        <v/>
      </c>
      <c r="Q15" s="330" t="str">
        <f>IF(B15="","",P15*'Ingoing substances_DID'!M15/'Ingoing substances_DID'!N15*1000)</f>
        <v/>
      </c>
      <c r="R15" s="332" t="str">
        <f>IF(B15="","",(IF(OR('Ingoing Substances'!O15="N",'Ingoing substances_DID'!O15="R"),"",P15)))</f>
        <v/>
      </c>
      <c r="S15" s="332" t="str">
        <f>IF(B15="","",IF(OR('Ingoing Substances'!O15="N",'Ingoing substances_DID'!Q15="Y"),"",P15))</f>
        <v/>
      </c>
      <c r="T15" s="385" t="str">
        <f>IF('Ingoing Substances'!U15="","",'Ingoing Substances'!U15*P15/100)</f>
        <v/>
      </c>
    </row>
    <row r="16" spans="1:20" x14ac:dyDescent="0.15">
      <c r="A16" s="37">
        <v>5</v>
      </c>
      <c r="B16" s="328" t="str">
        <f>IF('Ingoing substances_DID'!B16="","",'Ingoing substances_DID'!B16)</f>
        <v/>
      </c>
      <c r="C16" s="329" t="str">
        <f>IF('Ingoing substances_DID'!G16="","",'Ingoing substances_DID'!G16)</f>
        <v/>
      </c>
      <c r="D16" s="331" t="str">
        <f>IF(OR('Ingoing Substances'!Q16="N",'Ingoing substances_DID'!O16="R"),"",C16)</f>
        <v/>
      </c>
      <c r="E16" s="376" t="str">
        <f>IF(OR('Ingoing Substances'!T16="N",'Ingoing substances_DID'!P16="Y"),"",C16)</f>
        <v/>
      </c>
      <c r="F16" s="384" t="str">
        <f>IF(B16="","",C16*Product!$C$40/100)</f>
        <v/>
      </c>
      <c r="G16" s="330" t="str">
        <f>IF(B16="","",F16*'Ingoing substances_DID'!M16/'Ingoing substances_DID'!N16*1000)</f>
        <v/>
      </c>
      <c r="H16" s="331" t="str">
        <f>IF(B16="","",(IF(OR('Ingoing Substances'!O16="N",'Ingoing substances_DID'!O16="R"),"",F16)))</f>
        <v/>
      </c>
      <c r="I16" s="331" t="str">
        <f>IF(B16="","",IF(OR('Ingoing Substances'!O16="N",'Ingoing substances_DID'!Q16="Y"),"",F16))</f>
        <v/>
      </c>
      <c r="J16" s="385" t="str">
        <f>IF('Ingoing Substances'!U16="","",'Ingoing Substances'!U16*F16/100)</f>
        <v/>
      </c>
      <c r="K16" s="384" t="str">
        <f>IF(B16="","",C16*Product!$D$40/100)</f>
        <v/>
      </c>
      <c r="L16" s="330" t="str">
        <f>IF(B16="","",K16*'Ingoing substances_DID'!M16/'Ingoing substances_DID'!N16*1000)</f>
        <v/>
      </c>
      <c r="M16" s="332" t="str">
        <f>IF(B16="","",(IF(OR('Ingoing Substances'!O16="N",'Ingoing substances_DID'!O16="R"),"",K16)))</f>
        <v/>
      </c>
      <c r="N16" s="332" t="str">
        <f>IF(B16="","",IF(OR('Ingoing Substances'!O16="N",'Ingoing substances_DID'!Q16="Y"),"",K16))</f>
        <v/>
      </c>
      <c r="O16" s="385" t="str">
        <f>IF('Ingoing Substances'!U16="","",'Ingoing Substances'!U16*K16/100)</f>
        <v/>
      </c>
      <c r="P16" s="384" t="str">
        <f>IF(B16="","",C16*Product!$E$40/100)</f>
        <v/>
      </c>
      <c r="Q16" s="330" t="str">
        <f>IF(B16="","",P16*'Ingoing substances_DID'!M16/'Ingoing substances_DID'!N16*1000)</f>
        <v/>
      </c>
      <c r="R16" s="332" t="str">
        <f>IF(B16="","",(IF(OR('Ingoing Substances'!O16="N",'Ingoing substances_DID'!O16="R"),"",P16)))</f>
        <v/>
      </c>
      <c r="S16" s="332" t="str">
        <f>IF(B16="","",IF(OR('Ingoing Substances'!O16="N",'Ingoing substances_DID'!Q16="Y"),"",P16))</f>
        <v/>
      </c>
      <c r="T16" s="385" t="str">
        <f>IF('Ingoing Substances'!U16="","",'Ingoing Substances'!U16*P16/100)</f>
        <v/>
      </c>
    </row>
    <row r="17" spans="1:20" x14ac:dyDescent="0.15">
      <c r="A17" s="37">
        <v>6</v>
      </c>
      <c r="B17" s="328" t="str">
        <f>IF('Ingoing substances_DID'!B17="","",'Ingoing substances_DID'!B17)</f>
        <v/>
      </c>
      <c r="C17" s="329" t="str">
        <f>IF('Ingoing substances_DID'!G17="","",'Ingoing substances_DID'!G17)</f>
        <v/>
      </c>
      <c r="D17" s="331" t="str">
        <f>IF(OR('Ingoing Substances'!Q17="N",'Ingoing substances_DID'!O17="R"),"",C17)</f>
        <v/>
      </c>
      <c r="E17" s="376" t="str">
        <f>IF(OR('Ingoing Substances'!T17="N",'Ingoing substances_DID'!P17="Y"),"",C17)</f>
        <v/>
      </c>
      <c r="F17" s="384" t="str">
        <f>IF(B17="","",C17*Product!$C$40/100)</f>
        <v/>
      </c>
      <c r="G17" s="330" t="str">
        <f>IF(B17="","",F17*'Ingoing substances_DID'!M17/'Ingoing substances_DID'!N17*1000)</f>
        <v/>
      </c>
      <c r="H17" s="331" t="str">
        <f>IF(B17="","",(IF(OR('Ingoing Substances'!O17="N",'Ingoing substances_DID'!O17="R"),"",F17)))</f>
        <v/>
      </c>
      <c r="I17" s="331" t="str">
        <f>IF(B17="","",IF(OR('Ingoing Substances'!O17="N",'Ingoing substances_DID'!Q17="Y"),"",F17))</f>
        <v/>
      </c>
      <c r="J17" s="385" t="str">
        <f>IF('Ingoing Substances'!U17="","",'Ingoing Substances'!U17*F17/100)</f>
        <v/>
      </c>
      <c r="K17" s="384" t="str">
        <f>IF(B17="","",C17*Product!$D$40/100)</f>
        <v/>
      </c>
      <c r="L17" s="330" t="str">
        <f>IF(B17="","",K17*'Ingoing substances_DID'!M17/'Ingoing substances_DID'!N17*1000)</f>
        <v/>
      </c>
      <c r="M17" s="332" t="str">
        <f>IF(B17="","",(IF(OR('Ingoing Substances'!O17="N",'Ingoing substances_DID'!O17="R"),"",K17)))</f>
        <v/>
      </c>
      <c r="N17" s="332" t="str">
        <f>IF(B17="","",IF(OR('Ingoing Substances'!O17="N",'Ingoing substances_DID'!Q17="Y"),"",K17))</f>
        <v/>
      </c>
      <c r="O17" s="385" t="str">
        <f>IF('Ingoing Substances'!U17="","",'Ingoing Substances'!U17*K17/100)</f>
        <v/>
      </c>
      <c r="P17" s="384" t="str">
        <f>IF(B17="","",C17*Product!$E$40/100)</f>
        <v/>
      </c>
      <c r="Q17" s="330" t="str">
        <f>IF(B17="","",P17*'Ingoing substances_DID'!M17/'Ingoing substances_DID'!N17*1000)</f>
        <v/>
      </c>
      <c r="R17" s="332" t="str">
        <f>IF(B17="","",(IF(OR('Ingoing Substances'!O17="N",'Ingoing substances_DID'!O17="R"),"",P17)))</f>
        <v/>
      </c>
      <c r="S17" s="332" t="str">
        <f>IF(B17="","",IF(OR('Ingoing Substances'!O17="N",'Ingoing substances_DID'!Q17="Y"),"",P17))</f>
        <v/>
      </c>
      <c r="T17" s="385" t="str">
        <f>IF('Ingoing Substances'!U17="","",'Ingoing Substances'!U17*P17/100)</f>
        <v/>
      </c>
    </row>
    <row r="18" spans="1:20" x14ac:dyDescent="0.15">
      <c r="A18" s="37">
        <v>7</v>
      </c>
      <c r="B18" s="328" t="str">
        <f>IF('Ingoing substances_DID'!B18="","",'Ingoing substances_DID'!B18)</f>
        <v/>
      </c>
      <c r="C18" s="329" t="str">
        <f>IF('Ingoing substances_DID'!G18="","",'Ingoing substances_DID'!G18)</f>
        <v/>
      </c>
      <c r="D18" s="331" t="str">
        <f>IF(OR('Ingoing Substances'!Q18="N",'Ingoing substances_DID'!O18="R"),"",C18)</f>
        <v/>
      </c>
      <c r="E18" s="376" t="str">
        <f>IF(OR('Ingoing Substances'!T18="N",'Ingoing substances_DID'!P18="Y"),"",C18)</f>
        <v/>
      </c>
      <c r="F18" s="384" t="str">
        <f>IF(B18="","",C18*Product!$C$40/100)</f>
        <v/>
      </c>
      <c r="G18" s="330" t="str">
        <f>IF(B18="","",F18*'Ingoing substances_DID'!M18/'Ingoing substances_DID'!N18*1000)</f>
        <v/>
      </c>
      <c r="H18" s="331" t="str">
        <f>IF(B18="","",(IF(OR('Ingoing Substances'!O18="N",'Ingoing substances_DID'!O18="R"),"",F18)))</f>
        <v/>
      </c>
      <c r="I18" s="331" t="str">
        <f>IF(B18="","",IF(OR('Ingoing Substances'!O18="N",'Ingoing substances_DID'!Q18="Y"),"",F18))</f>
        <v/>
      </c>
      <c r="J18" s="385" t="str">
        <f>IF('Ingoing Substances'!U18="","",'Ingoing Substances'!U18*F18/100)</f>
        <v/>
      </c>
      <c r="K18" s="384" t="str">
        <f>IF(B18="","",C18*Product!$D$40/100)</f>
        <v/>
      </c>
      <c r="L18" s="330" t="str">
        <f>IF(B18="","",K18*'Ingoing substances_DID'!M18/'Ingoing substances_DID'!N18*1000)</f>
        <v/>
      </c>
      <c r="M18" s="332" t="str">
        <f>IF(B18="","",(IF(OR('Ingoing Substances'!O18="N",'Ingoing substances_DID'!O18="R"),"",K18)))</f>
        <v/>
      </c>
      <c r="N18" s="332" t="str">
        <f>IF(B18="","",IF(OR('Ingoing Substances'!O18="N",'Ingoing substances_DID'!Q18="Y"),"",K18))</f>
        <v/>
      </c>
      <c r="O18" s="385" t="str">
        <f>IF('Ingoing Substances'!U18="","",'Ingoing Substances'!U18*K18/100)</f>
        <v/>
      </c>
      <c r="P18" s="384" t="str">
        <f>IF(B18="","",C18*Product!$E$40/100)</f>
        <v/>
      </c>
      <c r="Q18" s="330" t="str">
        <f>IF(B18="","",P18*'Ingoing substances_DID'!M18/'Ingoing substances_DID'!N18*1000)</f>
        <v/>
      </c>
      <c r="R18" s="332" t="str">
        <f>IF(B18="","",(IF(OR('Ingoing Substances'!O18="N",'Ingoing substances_DID'!O18="R"),"",P18)))</f>
        <v/>
      </c>
      <c r="S18" s="332" t="str">
        <f>IF(B18="","",IF(OR('Ingoing Substances'!O18="N",'Ingoing substances_DID'!Q18="Y"),"",P18))</f>
        <v/>
      </c>
      <c r="T18" s="385" t="str">
        <f>IF('Ingoing Substances'!U18="","",'Ingoing Substances'!U18*P18/100)</f>
        <v/>
      </c>
    </row>
    <row r="19" spans="1:20" x14ac:dyDescent="0.15">
      <c r="A19" s="37">
        <v>8</v>
      </c>
      <c r="B19" s="328" t="str">
        <f>IF('Ingoing substances_DID'!B19="","",'Ingoing substances_DID'!B19)</f>
        <v/>
      </c>
      <c r="C19" s="329" t="str">
        <f>IF('Ingoing substances_DID'!G19="","",'Ingoing substances_DID'!G19)</f>
        <v/>
      </c>
      <c r="D19" s="331" t="str">
        <f>IF(OR('Ingoing Substances'!Q19="N",'Ingoing substances_DID'!O19="R"),"",C19)</f>
        <v/>
      </c>
      <c r="E19" s="376" t="str">
        <f>IF(OR('Ingoing Substances'!T19="N",'Ingoing substances_DID'!P19="Y"),"",C19)</f>
        <v/>
      </c>
      <c r="F19" s="384" t="str">
        <f>IF(B19="","",C19*Product!$C$40/100)</f>
        <v/>
      </c>
      <c r="G19" s="330" t="str">
        <f>IF(B19="","",F19*'Ingoing substances_DID'!M19/'Ingoing substances_DID'!N19*1000)</f>
        <v/>
      </c>
      <c r="H19" s="331" t="str">
        <f>IF(B19="","",(IF(OR('Ingoing Substances'!O19="N",'Ingoing substances_DID'!O19="R"),"",F19)))</f>
        <v/>
      </c>
      <c r="I19" s="331" t="str">
        <f>IF(B19="","",IF(OR('Ingoing Substances'!O19="N",'Ingoing substances_DID'!Q19="Y"),"",F19))</f>
        <v/>
      </c>
      <c r="J19" s="385" t="str">
        <f>IF('Ingoing Substances'!U19="","",'Ingoing Substances'!U19*F19/100)</f>
        <v/>
      </c>
      <c r="K19" s="384" t="str">
        <f>IF(B19="","",C19*Product!$D$40/100)</f>
        <v/>
      </c>
      <c r="L19" s="330" t="str">
        <f>IF(B19="","",K19*'Ingoing substances_DID'!M19/'Ingoing substances_DID'!N19*1000)</f>
        <v/>
      </c>
      <c r="M19" s="332" t="str">
        <f>IF(B19="","",(IF(OR('Ingoing Substances'!O19="N",'Ingoing substances_DID'!O19="R"),"",K19)))</f>
        <v/>
      </c>
      <c r="N19" s="332" t="str">
        <f>IF(B19="","",IF(OR('Ingoing Substances'!O19="N",'Ingoing substances_DID'!Q19="Y"),"",K19))</f>
        <v/>
      </c>
      <c r="O19" s="385" t="str">
        <f>IF('Ingoing Substances'!U19="","",'Ingoing Substances'!U19*K19/100)</f>
        <v/>
      </c>
      <c r="P19" s="384" t="str">
        <f>IF(B19="","",C19*Product!$E$40/100)</f>
        <v/>
      </c>
      <c r="Q19" s="330" t="str">
        <f>IF(B19="","",P19*'Ingoing substances_DID'!M19/'Ingoing substances_DID'!N19*1000)</f>
        <v/>
      </c>
      <c r="R19" s="332" t="str">
        <f>IF(B19="","",(IF(OR('Ingoing Substances'!O19="N",'Ingoing substances_DID'!O19="R"),"",P19)))</f>
        <v/>
      </c>
      <c r="S19" s="332" t="str">
        <f>IF(B19="","",IF(OR('Ingoing Substances'!O19="N",'Ingoing substances_DID'!Q19="Y"),"",P19))</f>
        <v/>
      </c>
      <c r="T19" s="385" t="str">
        <f>IF('Ingoing Substances'!U19="","",'Ingoing Substances'!U19*P19/100)</f>
        <v/>
      </c>
    </row>
    <row r="20" spans="1:20" x14ac:dyDescent="0.15">
      <c r="A20" s="37">
        <v>9</v>
      </c>
      <c r="B20" s="328" t="str">
        <f>IF('Ingoing substances_DID'!B20="","",'Ingoing substances_DID'!B20)</f>
        <v/>
      </c>
      <c r="C20" s="329" t="str">
        <f>IF('Ingoing substances_DID'!G20="","",'Ingoing substances_DID'!G20)</f>
        <v/>
      </c>
      <c r="D20" s="331" t="str">
        <f>IF(OR('Ingoing Substances'!Q20="N",'Ingoing substances_DID'!O20="R"),"",C20)</f>
        <v/>
      </c>
      <c r="E20" s="376" t="str">
        <f>IF(OR('Ingoing Substances'!T20="N",'Ingoing substances_DID'!P20="Y"),"",C20)</f>
        <v/>
      </c>
      <c r="F20" s="384" t="str">
        <f>IF(B20="","",C20*Product!$C$40/100)</f>
        <v/>
      </c>
      <c r="G20" s="330" t="str">
        <f>IF(B20="","",F20*'Ingoing substances_DID'!M20/'Ingoing substances_DID'!N20*1000)</f>
        <v/>
      </c>
      <c r="H20" s="331" t="str">
        <f>IF(B20="","",(IF(OR('Ingoing Substances'!O20="N",'Ingoing substances_DID'!O20="R"),"",F20)))</f>
        <v/>
      </c>
      <c r="I20" s="331" t="str">
        <f>IF(B20="","",IF(OR('Ingoing Substances'!O20="N",'Ingoing substances_DID'!Q20="Y"),"",F20))</f>
        <v/>
      </c>
      <c r="J20" s="385" t="str">
        <f>IF('Ingoing Substances'!U20="","",'Ingoing Substances'!U20*F20/100)</f>
        <v/>
      </c>
      <c r="K20" s="384" t="str">
        <f>IF(B20="","",C20*Product!$D$40/100)</f>
        <v/>
      </c>
      <c r="L20" s="330" t="str">
        <f>IF(B20="","",K20*'Ingoing substances_DID'!M20/'Ingoing substances_DID'!N20*1000)</f>
        <v/>
      </c>
      <c r="M20" s="332" t="str">
        <f>IF(B20="","",(IF(OR('Ingoing Substances'!O20="N",'Ingoing substances_DID'!O20="R"),"",K20)))</f>
        <v/>
      </c>
      <c r="N20" s="332" t="str">
        <f>IF(B20="","",IF(OR('Ingoing Substances'!O20="N",'Ingoing substances_DID'!Q20="Y"),"",K20))</f>
        <v/>
      </c>
      <c r="O20" s="385" t="str">
        <f>IF('Ingoing Substances'!U20="","",'Ingoing Substances'!U20*K20/100)</f>
        <v/>
      </c>
      <c r="P20" s="384" t="str">
        <f>IF(B20="","",C20*Product!$E$40/100)</f>
        <v/>
      </c>
      <c r="Q20" s="330" t="str">
        <f>IF(B20="","",P20*'Ingoing substances_DID'!M20/'Ingoing substances_DID'!N20*1000)</f>
        <v/>
      </c>
      <c r="R20" s="332" t="str">
        <f>IF(B20="","",(IF(OR('Ingoing Substances'!O20="N",'Ingoing substances_DID'!O20="R"),"",P20)))</f>
        <v/>
      </c>
      <c r="S20" s="332" t="str">
        <f>IF(B20="","",IF(OR('Ingoing Substances'!O20="N",'Ingoing substances_DID'!Q20="Y"),"",P20))</f>
        <v/>
      </c>
      <c r="T20" s="385" t="str">
        <f>IF('Ingoing Substances'!U20="","",'Ingoing Substances'!U20*P20/100)</f>
        <v/>
      </c>
    </row>
    <row r="21" spans="1:20" x14ac:dyDescent="0.15">
      <c r="A21" s="37">
        <v>10</v>
      </c>
      <c r="B21" s="328" t="str">
        <f>IF('Ingoing substances_DID'!B21="","",'Ingoing substances_DID'!B21)</f>
        <v/>
      </c>
      <c r="C21" s="329" t="str">
        <f>IF('Ingoing substances_DID'!G21="","",'Ingoing substances_DID'!G21)</f>
        <v/>
      </c>
      <c r="D21" s="331" t="str">
        <f>IF(OR('Ingoing Substances'!Q21="N",'Ingoing substances_DID'!O21="R"),"",C21)</f>
        <v/>
      </c>
      <c r="E21" s="376" t="str">
        <f>IF(OR('Ingoing Substances'!T21="N",'Ingoing substances_DID'!P21="Y"),"",C21)</f>
        <v/>
      </c>
      <c r="F21" s="384" t="str">
        <f>IF(B21="","",C21*Product!$C$40/100)</f>
        <v/>
      </c>
      <c r="G21" s="330" t="str">
        <f>IF(B21="","",F21*'Ingoing substances_DID'!M21/'Ingoing substances_DID'!N21*1000)</f>
        <v/>
      </c>
      <c r="H21" s="331" t="str">
        <f>IF(B21="","",(IF(OR('Ingoing Substances'!O21="N",'Ingoing substances_DID'!O21="R"),"",F21)))</f>
        <v/>
      </c>
      <c r="I21" s="331" t="str">
        <f>IF(B21="","",IF(OR('Ingoing Substances'!O21="N",'Ingoing substances_DID'!Q21="Y"),"",F21))</f>
        <v/>
      </c>
      <c r="J21" s="385" t="str">
        <f>IF('Ingoing Substances'!U21="","",'Ingoing Substances'!U21*F21/100)</f>
        <v/>
      </c>
      <c r="K21" s="384" t="str">
        <f>IF(B21="","",C21*Product!$D$40/100)</f>
        <v/>
      </c>
      <c r="L21" s="330" t="str">
        <f>IF(B21="","",K21*'Ingoing substances_DID'!M21/'Ingoing substances_DID'!N21*1000)</f>
        <v/>
      </c>
      <c r="M21" s="332" t="str">
        <f>IF(B21="","",(IF(OR('Ingoing Substances'!O21="N",'Ingoing substances_DID'!O21="R"),"",K21)))</f>
        <v/>
      </c>
      <c r="N21" s="332" t="str">
        <f>IF(B21="","",IF(OR('Ingoing Substances'!O21="N",'Ingoing substances_DID'!Q21="Y"),"",K21))</f>
        <v/>
      </c>
      <c r="O21" s="385" t="str">
        <f>IF('Ingoing Substances'!U21="","",'Ingoing Substances'!U21*K21/100)</f>
        <v/>
      </c>
      <c r="P21" s="384" t="str">
        <f>IF(B21="","",C21*Product!$E$40/100)</f>
        <v/>
      </c>
      <c r="Q21" s="330" t="str">
        <f>IF(B21="","",P21*'Ingoing substances_DID'!M21/'Ingoing substances_DID'!N21*1000)</f>
        <v/>
      </c>
      <c r="R21" s="332" t="str">
        <f>IF(B21="","",(IF(OR('Ingoing Substances'!O21="N",'Ingoing substances_DID'!O21="R"),"",P21)))</f>
        <v/>
      </c>
      <c r="S21" s="332" t="str">
        <f>IF(B21="","",IF(OR('Ingoing Substances'!O21="N",'Ingoing substances_DID'!Q21="Y"),"",P21))</f>
        <v/>
      </c>
      <c r="T21" s="385" t="str">
        <f>IF('Ingoing Substances'!U21="","",'Ingoing Substances'!U21*P21/100)</f>
        <v/>
      </c>
    </row>
    <row r="22" spans="1:20" x14ac:dyDescent="0.15">
      <c r="A22" s="37">
        <v>11</v>
      </c>
      <c r="B22" s="328" t="str">
        <f>IF('Ingoing substances_DID'!B22="","",'Ingoing substances_DID'!B22)</f>
        <v/>
      </c>
      <c r="C22" s="329" t="str">
        <f>IF('Ingoing substances_DID'!G22="","",'Ingoing substances_DID'!G22)</f>
        <v/>
      </c>
      <c r="D22" s="331" t="str">
        <f>IF(OR('Ingoing Substances'!Q22="N",'Ingoing substances_DID'!O22="R"),"",C22)</f>
        <v/>
      </c>
      <c r="E22" s="376" t="str">
        <f>IF(OR('Ingoing Substances'!T22="N",'Ingoing substances_DID'!P22="Y"),"",C22)</f>
        <v/>
      </c>
      <c r="F22" s="384" t="str">
        <f>IF(B22="","",C22*Product!$C$40/100)</f>
        <v/>
      </c>
      <c r="G22" s="330" t="str">
        <f>IF(B22="","",F22*'Ingoing substances_DID'!M22/'Ingoing substances_DID'!N22*1000)</f>
        <v/>
      </c>
      <c r="H22" s="331" t="str">
        <f>IF(B22="","",(IF(OR('Ingoing Substances'!O22="N",'Ingoing substances_DID'!O22="R"),"",F22)))</f>
        <v/>
      </c>
      <c r="I22" s="331" t="str">
        <f>IF(B22="","",IF(OR('Ingoing Substances'!O22="N",'Ingoing substances_DID'!Q22="Y"),"",F22))</f>
        <v/>
      </c>
      <c r="J22" s="385" t="str">
        <f>IF('Ingoing Substances'!U22="","",'Ingoing Substances'!U22*F22/100)</f>
        <v/>
      </c>
      <c r="K22" s="384" t="str">
        <f>IF(B22="","",C22*Product!$D$40/100)</f>
        <v/>
      </c>
      <c r="L22" s="330" t="str">
        <f>IF(B22="","",K22*'Ingoing substances_DID'!M22/'Ingoing substances_DID'!N22*1000)</f>
        <v/>
      </c>
      <c r="M22" s="332" t="str">
        <f>IF(B22="","",(IF(OR('Ingoing Substances'!O22="N",'Ingoing substances_DID'!O22="R"),"",K22)))</f>
        <v/>
      </c>
      <c r="N22" s="332" t="str">
        <f>IF(B22="","",IF(OR('Ingoing Substances'!O22="N",'Ingoing substances_DID'!Q22="Y"),"",K22))</f>
        <v/>
      </c>
      <c r="O22" s="385" t="str">
        <f>IF('Ingoing Substances'!U22="","",'Ingoing Substances'!U22*K22/100)</f>
        <v/>
      </c>
      <c r="P22" s="384" t="str">
        <f>IF(B22="","",C22*Product!$E$40/100)</f>
        <v/>
      </c>
      <c r="Q22" s="330" t="str">
        <f>IF(B22="","",P22*'Ingoing substances_DID'!M22/'Ingoing substances_DID'!N22*1000)</f>
        <v/>
      </c>
      <c r="R22" s="332" t="str">
        <f>IF(B22="","",(IF(OR('Ingoing Substances'!O22="N",'Ingoing substances_DID'!O22="R"),"",P22)))</f>
        <v/>
      </c>
      <c r="S22" s="332" t="str">
        <f>IF(B22="","",IF(OR('Ingoing Substances'!O22="N",'Ingoing substances_DID'!Q22="Y"),"",P22))</f>
        <v/>
      </c>
      <c r="T22" s="385" t="str">
        <f>IF('Ingoing Substances'!U22="","",'Ingoing Substances'!U22*P22/100)</f>
        <v/>
      </c>
    </row>
    <row r="23" spans="1:20" x14ac:dyDescent="0.15">
      <c r="A23" s="37">
        <v>12</v>
      </c>
      <c r="B23" s="328" t="str">
        <f>IF('Ingoing substances_DID'!B23="","",'Ingoing substances_DID'!B23)</f>
        <v/>
      </c>
      <c r="C23" s="329" t="str">
        <f>IF('Ingoing substances_DID'!G23="","",'Ingoing substances_DID'!G23)</f>
        <v/>
      </c>
      <c r="D23" s="331" t="str">
        <f>IF(OR('Ingoing Substances'!Q23="N",'Ingoing substances_DID'!O23="R"),"",C23)</f>
        <v/>
      </c>
      <c r="E23" s="376" t="str">
        <f>IF(OR('Ingoing Substances'!T23="N",'Ingoing substances_DID'!P23="Y"),"",C23)</f>
        <v/>
      </c>
      <c r="F23" s="384" t="str">
        <f>IF(B23="","",C23*Product!$C$40/100)</f>
        <v/>
      </c>
      <c r="G23" s="330" t="str">
        <f>IF(B23="","",F23*'Ingoing substances_DID'!M23/'Ingoing substances_DID'!N23*1000)</f>
        <v/>
      </c>
      <c r="H23" s="331" t="str">
        <f>IF(B23="","",(IF(OR('Ingoing Substances'!O23="N",'Ingoing substances_DID'!O23="R"),"",F23)))</f>
        <v/>
      </c>
      <c r="I23" s="331" t="str">
        <f>IF(B23="","",IF(OR('Ingoing Substances'!O23="N",'Ingoing substances_DID'!Q23="Y"),"",F23))</f>
        <v/>
      </c>
      <c r="J23" s="385" t="str">
        <f>IF('Ingoing Substances'!U23="","",'Ingoing Substances'!U23*F23/100)</f>
        <v/>
      </c>
      <c r="K23" s="384" t="str">
        <f>IF(B23="","",C23*Product!$D$40/100)</f>
        <v/>
      </c>
      <c r="L23" s="330" t="str">
        <f>IF(B23="","",K23*'Ingoing substances_DID'!M23/'Ingoing substances_DID'!N23*1000)</f>
        <v/>
      </c>
      <c r="M23" s="332" t="str">
        <f>IF(B23="","",(IF(OR('Ingoing Substances'!O23="N",'Ingoing substances_DID'!O23="R"),"",K23)))</f>
        <v/>
      </c>
      <c r="N23" s="332" t="str">
        <f>IF(B23="","",IF(OR('Ingoing Substances'!O23="N",'Ingoing substances_DID'!Q23="Y"),"",K23))</f>
        <v/>
      </c>
      <c r="O23" s="385" t="str">
        <f>IF('Ingoing Substances'!U23="","",'Ingoing Substances'!U23*K23/100)</f>
        <v/>
      </c>
      <c r="P23" s="384" t="str">
        <f>IF(B23="","",C23*Product!$E$40/100)</f>
        <v/>
      </c>
      <c r="Q23" s="330" t="str">
        <f>IF(B23="","",P23*'Ingoing substances_DID'!M23/'Ingoing substances_DID'!N23*1000)</f>
        <v/>
      </c>
      <c r="R23" s="332" t="str">
        <f>IF(B23="","",(IF(OR('Ingoing Substances'!O23="N",'Ingoing substances_DID'!O23="R"),"",P23)))</f>
        <v/>
      </c>
      <c r="S23" s="332" t="str">
        <f>IF(B23="","",IF(OR('Ingoing Substances'!O23="N",'Ingoing substances_DID'!Q23="Y"),"",P23))</f>
        <v/>
      </c>
      <c r="T23" s="385" t="str">
        <f>IF('Ingoing Substances'!U23="","",'Ingoing Substances'!U23*P23/100)</f>
        <v/>
      </c>
    </row>
    <row r="24" spans="1:20" x14ac:dyDescent="0.15">
      <c r="A24" s="37">
        <v>13</v>
      </c>
      <c r="B24" s="328" t="str">
        <f>IF('Ingoing substances_DID'!B24="","",'Ingoing substances_DID'!B24)</f>
        <v/>
      </c>
      <c r="C24" s="329" t="str">
        <f>IF('Ingoing substances_DID'!G24="","",'Ingoing substances_DID'!G24)</f>
        <v/>
      </c>
      <c r="D24" s="331" t="str">
        <f>IF(OR('Ingoing Substances'!Q24="N",'Ingoing substances_DID'!O24="R"),"",C24)</f>
        <v/>
      </c>
      <c r="E24" s="376" t="str">
        <f>IF(OR('Ingoing Substances'!T24="N",'Ingoing substances_DID'!P24="Y"),"",C24)</f>
        <v/>
      </c>
      <c r="F24" s="384" t="str">
        <f>IF(B24="","",C24*Product!$C$40/100)</f>
        <v/>
      </c>
      <c r="G24" s="330" t="str">
        <f>IF(B24="","",F24*'Ingoing substances_DID'!M24/'Ingoing substances_DID'!N24*1000)</f>
        <v/>
      </c>
      <c r="H24" s="331" t="str">
        <f>IF(B24="","",(IF(OR('Ingoing Substances'!O24="N",'Ingoing substances_DID'!O24="R"),"",F24)))</f>
        <v/>
      </c>
      <c r="I24" s="331" t="str">
        <f>IF(B24="","",IF(OR('Ingoing Substances'!O24="N",'Ingoing substances_DID'!Q24="Y"),"",F24))</f>
        <v/>
      </c>
      <c r="J24" s="385" t="str">
        <f>IF('Ingoing Substances'!U24="","",'Ingoing Substances'!U24*F24/100)</f>
        <v/>
      </c>
      <c r="K24" s="384" t="str">
        <f>IF(B24="","",C24*Product!$D$40/100)</f>
        <v/>
      </c>
      <c r="L24" s="330" t="str">
        <f>IF(B24="","",K24*'Ingoing substances_DID'!M24/'Ingoing substances_DID'!N24*1000)</f>
        <v/>
      </c>
      <c r="M24" s="332" t="str">
        <f>IF(B24="","",(IF(OR('Ingoing Substances'!O24="N",'Ingoing substances_DID'!O24="R"),"",K24)))</f>
        <v/>
      </c>
      <c r="N24" s="332" t="str">
        <f>IF(B24="","",IF(OR('Ingoing Substances'!O24="N",'Ingoing substances_DID'!Q24="Y"),"",K24))</f>
        <v/>
      </c>
      <c r="O24" s="385" t="str">
        <f>IF('Ingoing Substances'!U24="","",'Ingoing Substances'!U24*K24/100)</f>
        <v/>
      </c>
      <c r="P24" s="384" t="str">
        <f>IF(B24="","",C24*Product!$E$40/100)</f>
        <v/>
      </c>
      <c r="Q24" s="330" t="str">
        <f>IF(B24="","",P24*'Ingoing substances_DID'!M24/'Ingoing substances_DID'!N24*1000)</f>
        <v/>
      </c>
      <c r="R24" s="332" t="str">
        <f>IF(B24="","",(IF(OR('Ingoing Substances'!O24="N",'Ingoing substances_DID'!O24="R"),"",P24)))</f>
        <v/>
      </c>
      <c r="S24" s="332" t="str">
        <f>IF(B24="","",IF(OR('Ingoing Substances'!O24="N",'Ingoing substances_DID'!Q24="Y"),"",P24))</f>
        <v/>
      </c>
      <c r="T24" s="385" t="str">
        <f>IF('Ingoing Substances'!U24="","",'Ingoing Substances'!U24*P24/100)</f>
        <v/>
      </c>
    </row>
    <row r="25" spans="1:20" x14ac:dyDescent="0.15">
      <c r="A25" s="37">
        <v>14</v>
      </c>
      <c r="B25" s="328" t="str">
        <f>IF('Ingoing substances_DID'!B25="","",'Ingoing substances_DID'!B25)</f>
        <v/>
      </c>
      <c r="C25" s="329" t="str">
        <f>IF('Ingoing substances_DID'!G25="","",'Ingoing substances_DID'!G25)</f>
        <v/>
      </c>
      <c r="D25" s="331" t="str">
        <f>IF(OR('Ingoing Substances'!Q25="N",'Ingoing substances_DID'!O25="R"),"",C25)</f>
        <v/>
      </c>
      <c r="E25" s="376" t="str">
        <f>IF(OR('Ingoing Substances'!T25="N",'Ingoing substances_DID'!P25="Y"),"",C25)</f>
        <v/>
      </c>
      <c r="F25" s="384" t="str">
        <f>IF(B25="","",C25*Product!$C$40/100)</f>
        <v/>
      </c>
      <c r="G25" s="330" t="str">
        <f>IF(B25="","",F25*'Ingoing substances_DID'!M25/'Ingoing substances_DID'!N25*1000)</f>
        <v/>
      </c>
      <c r="H25" s="331" t="str">
        <f>IF(B25="","",(IF(OR('Ingoing Substances'!O25="N",'Ingoing substances_DID'!O25="R"),"",F25)))</f>
        <v/>
      </c>
      <c r="I25" s="331" t="str">
        <f>IF(B25="","",IF(OR('Ingoing Substances'!O25="N",'Ingoing substances_DID'!Q25="Y"),"",F25))</f>
        <v/>
      </c>
      <c r="J25" s="385" t="str">
        <f>IF('Ingoing Substances'!U25="","",'Ingoing Substances'!U25*F25/100)</f>
        <v/>
      </c>
      <c r="K25" s="384" t="str">
        <f>IF(B25="","",C25*Product!$D$40/100)</f>
        <v/>
      </c>
      <c r="L25" s="330" t="str">
        <f>IF(B25="","",K25*'Ingoing substances_DID'!M25/'Ingoing substances_DID'!N25*1000)</f>
        <v/>
      </c>
      <c r="M25" s="332" t="str">
        <f>IF(B25="","",(IF(OR('Ingoing Substances'!O25="N",'Ingoing substances_DID'!O25="R"),"",K25)))</f>
        <v/>
      </c>
      <c r="N25" s="332" t="str">
        <f>IF(B25="","",IF(OR('Ingoing Substances'!O25="N",'Ingoing substances_DID'!Q25="Y"),"",K25))</f>
        <v/>
      </c>
      <c r="O25" s="385" t="str">
        <f>IF('Ingoing Substances'!U25="","",'Ingoing Substances'!U25*K25/100)</f>
        <v/>
      </c>
      <c r="P25" s="384" t="str">
        <f>IF(B25="","",C25*Product!$E$40/100)</f>
        <v/>
      </c>
      <c r="Q25" s="330" t="str">
        <f>IF(B25="","",P25*'Ingoing substances_DID'!M25/'Ingoing substances_DID'!N25*1000)</f>
        <v/>
      </c>
      <c r="R25" s="332" t="str">
        <f>IF(B25="","",(IF(OR('Ingoing Substances'!O25="N",'Ingoing substances_DID'!O25="R"),"",P25)))</f>
        <v/>
      </c>
      <c r="S25" s="332" t="str">
        <f>IF(B25="","",IF(OR('Ingoing Substances'!O25="N",'Ingoing substances_DID'!Q25="Y"),"",P25))</f>
        <v/>
      </c>
      <c r="T25" s="385" t="str">
        <f>IF('Ingoing Substances'!U25="","",'Ingoing Substances'!U25*P25/100)</f>
        <v/>
      </c>
    </row>
    <row r="26" spans="1:20" x14ac:dyDescent="0.15">
      <c r="A26" s="37">
        <v>15</v>
      </c>
      <c r="B26" s="328" t="str">
        <f>IF('Ingoing substances_DID'!B26="","",'Ingoing substances_DID'!B26)</f>
        <v/>
      </c>
      <c r="C26" s="329" t="str">
        <f>IF('Ingoing substances_DID'!G26="","",'Ingoing substances_DID'!G26)</f>
        <v/>
      </c>
      <c r="D26" s="331" t="str">
        <f>IF(OR('Ingoing Substances'!Q26="N",'Ingoing substances_DID'!O26="R"),"",C26)</f>
        <v/>
      </c>
      <c r="E26" s="376" t="str">
        <f>IF(OR('Ingoing Substances'!T26="N",'Ingoing substances_DID'!P26="Y"),"",C26)</f>
        <v/>
      </c>
      <c r="F26" s="384" t="str">
        <f>IF(B26="","",C26*Product!$C$40/100)</f>
        <v/>
      </c>
      <c r="G26" s="330" t="str">
        <f>IF(B26="","",F26*'Ingoing substances_DID'!M26/'Ingoing substances_DID'!N26*1000)</f>
        <v/>
      </c>
      <c r="H26" s="331" t="str">
        <f>IF(B26="","",(IF(OR('Ingoing Substances'!O26="N",'Ingoing substances_DID'!O26="R"),"",F26)))</f>
        <v/>
      </c>
      <c r="I26" s="331" t="str">
        <f>IF(B26="","",IF(OR('Ingoing Substances'!O26="N",'Ingoing substances_DID'!Q26="Y"),"",F26))</f>
        <v/>
      </c>
      <c r="J26" s="385" t="str">
        <f>IF('Ingoing Substances'!U26="","",'Ingoing Substances'!U26*F26/100)</f>
        <v/>
      </c>
      <c r="K26" s="384" t="str">
        <f>IF(B26="","",C26*Product!$D$40/100)</f>
        <v/>
      </c>
      <c r="L26" s="330" t="str">
        <f>IF(B26="","",K26*'Ingoing substances_DID'!M26/'Ingoing substances_DID'!N26*1000)</f>
        <v/>
      </c>
      <c r="M26" s="332" t="str">
        <f>IF(B26="","",(IF(OR('Ingoing Substances'!O26="N",'Ingoing substances_DID'!O26="R"),"",K26)))</f>
        <v/>
      </c>
      <c r="N26" s="332" t="str">
        <f>IF(B26="","",IF(OR('Ingoing Substances'!O26="N",'Ingoing substances_DID'!Q26="Y"),"",K26))</f>
        <v/>
      </c>
      <c r="O26" s="385" t="str">
        <f>IF('Ingoing Substances'!U26="","",'Ingoing Substances'!U26*K26/100)</f>
        <v/>
      </c>
      <c r="P26" s="384" t="str">
        <f>IF(B26="","",C26*Product!$E$40/100)</f>
        <v/>
      </c>
      <c r="Q26" s="330" t="str">
        <f>IF(B26="","",P26*'Ingoing substances_DID'!M26/'Ingoing substances_DID'!N26*1000)</f>
        <v/>
      </c>
      <c r="R26" s="332" t="str">
        <f>IF(B26="","",(IF(OR('Ingoing Substances'!O26="N",'Ingoing substances_DID'!O26="R"),"",P26)))</f>
        <v/>
      </c>
      <c r="S26" s="332" t="str">
        <f>IF(B26="","",IF(OR('Ingoing Substances'!O26="N",'Ingoing substances_DID'!Q26="Y"),"",P26))</f>
        <v/>
      </c>
      <c r="T26" s="385" t="str">
        <f>IF('Ingoing Substances'!U26="","",'Ingoing Substances'!U26*P26/100)</f>
        <v/>
      </c>
    </row>
    <row r="27" spans="1:20" x14ac:dyDescent="0.15">
      <c r="A27" s="37">
        <v>16</v>
      </c>
      <c r="B27" s="328" t="str">
        <f>IF('Ingoing substances_DID'!B27="","",'Ingoing substances_DID'!B27)</f>
        <v/>
      </c>
      <c r="C27" s="329" t="str">
        <f>IF('Ingoing substances_DID'!G27="","",'Ingoing substances_DID'!G27)</f>
        <v/>
      </c>
      <c r="D27" s="331" t="str">
        <f>IF(OR('Ingoing Substances'!Q27="N",'Ingoing substances_DID'!O27="R"),"",C27)</f>
        <v/>
      </c>
      <c r="E27" s="376" t="str">
        <f>IF(OR('Ingoing Substances'!T27="N",'Ingoing substances_DID'!P27="Y"),"",C27)</f>
        <v/>
      </c>
      <c r="F27" s="384" t="str">
        <f>IF(B27="","",C27*Product!$C$40/100)</f>
        <v/>
      </c>
      <c r="G27" s="330" t="str">
        <f>IF(B27="","",F27*'Ingoing substances_DID'!M27/'Ingoing substances_DID'!N27*1000)</f>
        <v/>
      </c>
      <c r="H27" s="331" t="str">
        <f>IF(B27="","",(IF(OR('Ingoing Substances'!O27="N",'Ingoing substances_DID'!O27="R"),"",F27)))</f>
        <v/>
      </c>
      <c r="I27" s="331" t="str">
        <f>IF(B27="","",IF(OR('Ingoing Substances'!O27="N",'Ingoing substances_DID'!Q27="Y"),"",F27))</f>
        <v/>
      </c>
      <c r="J27" s="385" t="str">
        <f>IF('Ingoing Substances'!U27="","",'Ingoing Substances'!U27*F27/100)</f>
        <v/>
      </c>
      <c r="K27" s="384" t="str">
        <f>IF(B27="","",C27*Product!$D$40/100)</f>
        <v/>
      </c>
      <c r="L27" s="330" t="str">
        <f>IF(B27="","",K27*'Ingoing substances_DID'!M27/'Ingoing substances_DID'!N27*1000)</f>
        <v/>
      </c>
      <c r="M27" s="332" t="str">
        <f>IF(B27="","",(IF(OR('Ingoing Substances'!O27="N",'Ingoing substances_DID'!O27="R"),"",K27)))</f>
        <v/>
      </c>
      <c r="N27" s="332" t="str">
        <f>IF(B27="","",IF(OR('Ingoing Substances'!O27="N",'Ingoing substances_DID'!Q27="Y"),"",K27))</f>
        <v/>
      </c>
      <c r="O27" s="385" t="str">
        <f>IF('Ingoing Substances'!U27="","",'Ingoing Substances'!U27*K27/100)</f>
        <v/>
      </c>
      <c r="P27" s="384" t="str">
        <f>IF(B27="","",C27*Product!$E$40/100)</f>
        <v/>
      </c>
      <c r="Q27" s="330" t="str">
        <f>IF(B27="","",P27*'Ingoing substances_DID'!M27/'Ingoing substances_DID'!N27*1000)</f>
        <v/>
      </c>
      <c r="R27" s="332" t="str">
        <f>IF(B27="","",(IF(OR('Ingoing Substances'!O27="N",'Ingoing substances_DID'!O27="R"),"",P27)))</f>
        <v/>
      </c>
      <c r="S27" s="332" t="str">
        <f>IF(B27="","",IF(OR('Ingoing Substances'!O27="N",'Ingoing substances_DID'!Q27="Y"),"",P27))</f>
        <v/>
      </c>
      <c r="T27" s="385" t="str">
        <f>IF('Ingoing Substances'!U27="","",'Ingoing Substances'!U27*P27/100)</f>
        <v/>
      </c>
    </row>
    <row r="28" spans="1:20" x14ac:dyDescent="0.15">
      <c r="A28" s="37">
        <v>17</v>
      </c>
      <c r="B28" s="328" t="str">
        <f>IF('Ingoing substances_DID'!B28="","",'Ingoing substances_DID'!B28)</f>
        <v/>
      </c>
      <c r="C28" s="329" t="str">
        <f>IF('Ingoing substances_DID'!G28="","",'Ingoing substances_DID'!G28)</f>
        <v/>
      </c>
      <c r="D28" s="331" t="str">
        <f>IF(OR('Ingoing Substances'!Q28="N",'Ingoing substances_DID'!O28="R"),"",C28)</f>
        <v/>
      </c>
      <c r="E28" s="376" t="str">
        <f>IF(OR('Ingoing Substances'!T28="N",'Ingoing substances_DID'!P28="Y"),"",C28)</f>
        <v/>
      </c>
      <c r="F28" s="384" t="str">
        <f>IF(B28="","",C28*Product!$C$40/100)</f>
        <v/>
      </c>
      <c r="G28" s="330" t="str">
        <f>IF(B28="","",F28*'Ingoing substances_DID'!M28/'Ingoing substances_DID'!N28*1000)</f>
        <v/>
      </c>
      <c r="H28" s="331" t="str">
        <f>IF(B28="","",(IF(OR('Ingoing Substances'!O28="N",'Ingoing substances_DID'!O28="R"),"",F28)))</f>
        <v/>
      </c>
      <c r="I28" s="331" t="str">
        <f>IF(B28="","",IF(OR('Ingoing Substances'!O28="N",'Ingoing substances_DID'!Q28="Y"),"",F28))</f>
        <v/>
      </c>
      <c r="J28" s="385" t="str">
        <f>IF('Ingoing Substances'!U28="","",'Ingoing Substances'!U28*F28/100)</f>
        <v/>
      </c>
      <c r="K28" s="384" t="str">
        <f>IF(B28="","",C28*Product!$D$40/100)</f>
        <v/>
      </c>
      <c r="L28" s="330" t="str">
        <f>IF(B28="","",K28*'Ingoing substances_DID'!M28/'Ingoing substances_DID'!N28*1000)</f>
        <v/>
      </c>
      <c r="M28" s="332" t="str">
        <f>IF(B28="","",(IF(OR('Ingoing Substances'!O28="N",'Ingoing substances_DID'!O28="R"),"",K28)))</f>
        <v/>
      </c>
      <c r="N28" s="332" t="str">
        <f>IF(B28="","",IF(OR('Ingoing Substances'!O28="N",'Ingoing substances_DID'!Q28="Y"),"",K28))</f>
        <v/>
      </c>
      <c r="O28" s="385" t="str">
        <f>IF('Ingoing Substances'!U28="","",'Ingoing Substances'!U28*K28/100)</f>
        <v/>
      </c>
      <c r="P28" s="384" t="str">
        <f>IF(B28="","",C28*Product!$E$40/100)</f>
        <v/>
      </c>
      <c r="Q28" s="330" t="str">
        <f>IF(B28="","",P28*'Ingoing substances_DID'!M28/'Ingoing substances_DID'!N28*1000)</f>
        <v/>
      </c>
      <c r="R28" s="332" t="str">
        <f>IF(B28="","",(IF(OR('Ingoing Substances'!O28="N",'Ingoing substances_DID'!O28="R"),"",P28)))</f>
        <v/>
      </c>
      <c r="S28" s="332" t="str">
        <f>IF(B28="","",IF(OR('Ingoing Substances'!O28="N",'Ingoing substances_DID'!Q28="Y"),"",P28))</f>
        <v/>
      </c>
      <c r="T28" s="385" t="str">
        <f>IF('Ingoing Substances'!U28="","",'Ingoing Substances'!U28*P28/100)</f>
        <v/>
      </c>
    </row>
    <row r="29" spans="1:20" x14ac:dyDescent="0.15">
      <c r="A29" s="37">
        <v>18</v>
      </c>
      <c r="B29" s="328" t="str">
        <f>IF('Ingoing substances_DID'!B29="","",'Ingoing substances_DID'!B29)</f>
        <v/>
      </c>
      <c r="C29" s="329" t="str">
        <f>IF('Ingoing substances_DID'!G29="","",'Ingoing substances_DID'!G29)</f>
        <v/>
      </c>
      <c r="D29" s="331" t="str">
        <f>IF(OR('Ingoing Substances'!Q29="N",'Ingoing substances_DID'!O29="R"),"",C29)</f>
        <v/>
      </c>
      <c r="E29" s="376" t="str">
        <f>IF(OR('Ingoing Substances'!T29="N",'Ingoing substances_DID'!P29="Y"),"",C29)</f>
        <v/>
      </c>
      <c r="F29" s="384" t="str">
        <f>IF(B29="","",C29*Product!$C$40/100)</f>
        <v/>
      </c>
      <c r="G29" s="330" t="str">
        <f>IF(B29="","",F29*'Ingoing substances_DID'!M29/'Ingoing substances_DID'!N29*1000)</f>
        <v/>
      </c>
      <c r="H29" s="331" t="str">
        <f>IF(B29="","",(IF(OR('Ingoing Substances'!O29="N",'Ingoing substances_DID'!O29="R"),"",F29)))</f>
        <v/>
      </c>
      <c r="I29" s="331" t="str">
        <f>IF(B29="","",IF(OR('Ingoing Substances'!O29="N",'Ingoing substances_DID'!Q29="Y"),"",F29))</f>
        <v/>
      </c>
      <c r="J29" s="385" t="str">
        <f>IF('Ingoing Substances'!U29="","",'Ingoing Substances'!U29*F29/100)</f>
        <v/>
      </c>
      <c r="K29" s="384" t="str">
        <f>IF(B29="","",C29*Product!$D$40/100)</f>
        <v/>
      </c>
      <c r="L29" s="330" t="str">
        <f>IF(B29="","",K29*'Ingoing substances_DID'!M29/'Ingoing substances_DID'!N29*1000)</f>
        <v/>
      </c>
      <c r="M29" s="332" t="str">
        <f>IF(B29="","",(IF(OR('Ingoing Substances'!O29="N",'Ingoing substances_DID'!O29="R"),"",K29)))</f>
        <v/>
      </c>
      <c r="N29" s="332" t="str">
        <f>IF(B29="","",IF(OR('Ingoing Substances'!O29="N",'Ingoing substances_DID'!Q29="Y"),"",K29))</f>
        <v/>
      </c>
      <c r="O29" s="385" t="str">
        <f>IF('Ingoing Substances'!U29="","",'Ingoing Substances'!U29*K29/100)</f>
        <v/>
      </c>
      <c r="P29" s="384" t="str">
        <f>IF(B29="","",C29*Product!$E$40/100)</f>
        <v/>
      </c>
      <c r="Q29" s="330" t="str">
        <f>IF(B29="","",P29*'Ingoing substances_DID'!M29/'Ingoing substances_DID'!N29*1000)</f>
        <v/>
      </c>
      <c r="R29" s="332" t="str">
        <f>IF(B29="","",(IF(OR('Ingoing Substances'!O29="N",'Ingoing substances_DID'!O29="R"),"",P29)))</f>
        <v/>
      </c>
      <c r="S29" s="332" t="str">
        <f>IF(B29="","",IF(OR('Ingoing Substances'!O29="N",'Ingoing substances_DID'!Q29="Y"),"",P29))</f>
        <v/>
      </c>
      <c r="T29" s="385" t="str">
        <f>IF('Ingoing Substances'!U29="","",'Ingoing Substances'!U29*P29/100)</f>
        <v/>
      </c>
    </row>
    <row r="30" spans="1:20" x14ac:dyDescent="0.15">
      <c r="A30" s="37">
        <v>19</v>
      </c>
      <c r="B30" s="328" t="str">
        <f>IF('Ingoing substances_DID'!B30="","",'Ingoing substances_DID'!B30)</f>
        <v/>
      </c>
      <c r="C30" s="329" t="str">
        <f>IF('Ingoing substances_DID'!G30="","",'Ingoing substances_DID'!G30)</f>
        <v/>
      </c>
      <c r="D30" s="331" t="str">
        <f>IF(OR('Ingoing Substances'!Q30="N",'Ingoing substances_DID'!O30="R"),"",C30)</f>
        <v/>
      </c>
      <c r="E30" s="376" t="str">
        <f>IF(OR('Ingoing Substances'!T30="N",'Ingoing substances_DID'!P30="Y"),"",C30)</f>
        <v/>
      </c>
      <c r="F30" s="384" t="str">
        <f>IF(B30="","",C30*Product!$C$40/100)</f>
        <v/>
      </c>
      <c r="G30" s="330" t="str">
        <f>IF(B30="","",F30*'Ingoing substances_DID'!M30/'Ingoing substances_DID'!N30*1000)</f>
        <v/>
      </c>
      <c r="H30" s="331" t="str">
        <f>IF(B30="","",(IF(OR('Ingoing Substances'!O30="N",'Ingoing substances_DID'!O30="R"),"",F30)))</f>
        <v/>
      </c>
      <c r="I30" s="331" t="str">
        <f>IF(B30="","",IF(OR('Ingoing Substances'!O30="N",'Ingoing substances_DID'!Q30="Y"),"",F30))</f>
        <v/>
      </c>
      <c r="J30" s="385" t="str">
        <f>IF('Ingoing Substances'!U30="","",'Ingoing Substances'!U30*F30/100)</f>
        <v/>
      </c>
      <c r="K30" s="384" t="str">
        <f>IF(B30="","",C30*Product!$D$40/100)</f>
        <v/>
      </c>
      <c r="L30" s="330" t="str">
        <f>IF(B30="","",K30*'Ingoing substances_DID'!M30/'Ingoing substances_DID'!N30*1000)</f>
        <v/>
      </c>
      <c r="M30" s="332" t="str">
        <f>IF(B30="","",(IF(OR('Ingoing Substances'!O30="N",'Ingoing substances_DID'!O30="R"),"",K30)))</f>
        <v/>
      </c>
      <c r="N30" s="332" t="str">
        <f>IF(B30="","",IF(OR('Ingoing Substances'!O30="N",'Ingoing substances_DID'!Q30="Y"),"",K30))</f>
        <v/>
      </c>
      <c r="O30" s="385" t="str">
        <f>IF('Ingoing Substances'!U30="","",'Ingoing Substances'!U30*K30/100)</f>
        <v/>
      </c>
      <c r="P30" s="384" t="str">
        <f>IF(B30="","",C30*Product!$E$40/100)</f>
        <v/>
      </c>
      <c r="Q30" s="330" t="str">
        <f>IF(B30="","",P30*'Ingoing substances_DID'!M30/'Ingoing substances_DID'!N30*1000)</f>
        <v/>
      </c>
      <c r="R30" s="332" t="str">
        <f>IF(B30="","",(IF(OR('Ingoing Substances'!O30="N",'Ingoing substances_DID'!O30="R"),"",P30)))</f>
        <v/>
      </c>
      <c r="S30" s="332" t="str">
        <f>IF(B30="","",IF(OR('Ingoing Substances'!O30="N",'Ingoing substances_DID'!Q30="Y"),"",P30))</f>
        <v/>
      </c>
      <c r="T30" s="385" t="str">
        <f>IF('Ingoing Substances'!U30="","",'Ingoing Substances'!U30*P30/100)</f>
        <v/>
      </c>
    </row>
    <row r="31" spans="1:20" x14ac:dyDescent="0.15">
      <c r="A31" s="37">
        <v>20</v>
      </c>
      <c r="B31" s="328" t="str">
        <f>IF('Ingoing substances_DID'!B31="","",'Ingoing substances_DID'!B31)</f>
        <v/>
      </c>
      <c r="C31" s="329" t="str">
        <f>IF('Ingoing substances_DID'!G31="","",'Ingoing substances_DID'!G31)</f>
        <v/>
      </c>
      <c r="D31" s="331" t="str">
        <f>IF(OR('Ingoing Substances'!Q31="N",'Ingoing substances_DID'!O31="R"),"",C31)</f>
        <v/>
      </c>
      <c r="E31" s="376" t="str">
        <f>IF(OR('Ingoing Substances'!T31="N",'Ingoing substances_DID'!P31="Y"),"",C31)</f>
        <v/>
      </c>
      <c r="F31" s="384" t="str">
        <f>IF(B31="","",C31*Product!$C$40/100)</f>
        <v/>
      </c>
      <c r="G31" s="330" t="str">
        <f>IF(B31="","",F31*'Ingoing substances_DID'!M31/'Ingoing substances_DID'!N31*1000)</f>
        <v/>
      </c>
      <c r="H31" s="331" t="str">
        <f>IF(B31="","",(IF(OR('Ingoing Substances'!O31="N",'Ingoing substances_DID'!O31="R"),"",F31)))</f>
        <v/>
      </c>
      <c r="I31" s="331" t="str">
        <f>IF(B31="","",IF(OR('Ingoing Substances'!O31="N",'Ingoing substances_DID'!Q31="Y"),"",F31))</f>
        <v/>
      </c>
      <c r="J31" s="385" t="str">
        <f>IF('Ingoing Substances'!U31="","",'Ingoing Substances'!U31*F31/100)</f>
        <v/>
      </c>
      <c r="K31" s="384" t="str">
        <f>IF(B31="","",C31*Product!$D$40/100)</f>
        <v/>
      </c>
      <c r="L31" s="330" t="str">
        <f>IF(B31="","",K31*'Ingoing substances_DID'!M31/'Ingoing substances_DID'!N31*1000)</f>
        <v/>
      </c>
      <c r="M31" s="332" t="str">
        <f>IF(B31="","",(IF(OR('Ingoing Substances'!O31="N",'Ingoing substances_DID'!O31="R"),"",K31)))</f>
        <v/>
      </c>
      <c r="N31" s="332" t="str">
        <f>IF(B31="","",IF(OR('Ingoing Substances'!O31="N",'Ingoing substances_DID'!Q31="Y"),"",K31))</f>
        <v/>
      </c>
      <c r="O31" s="385" t="str">
        <f>IF('Ingoing Substances'!U31="","",'Ingoing Substances'!U31*K31/100)</f>
        <v/>
      </c>
      <c r="P31" s="384" t="str">
        <f>IF(B31="","",C31*Product!$E$40/100)</f>
        <v/>
      </c>
      <c r="Q31" s="330" t="str">
        <f>IF(B31="","",P31*'Ingoing substances_DID'!M31/'Ingoing substances_DID'!N31*1000)</f>
        <v/>
      </c>
      <c r="R31" s="332" t="str">
        <f>IF(B31="","",(IF(OR('Ingoing Substances'!O31="N",'Ingoing substances_DID'!O31="R"),"",P31)))</f>
        <v/>
      </c>
      <c r="S31" s="332" t="str">
        <f>IF(B31="","",IF(OR('Ingoing Substances'!O31="N",'Ingoing substances_DID'!Q31="Y"),"",P31))</f>
        <v/>
      </c>
      <c r="T31" s="385" t="str">
        <f>IF('Ingoing Substances'!U31="","",'Ingoing Substances'!U31*P31/100)</f>
        <v/>
      </c>
    </row>
    <row r="32" spans="1:20" x14ac:dyDescent="0.15">
      <c r="A32" s="37">
        <v>21</v>
      </c>
      <c r="B32" s="328" t="str">
        <f>IF('Ingoing substances_DID'!B32="","",'Ingoing substances_DID'!B32)</f>
        <v/>
      </c>
      <c r="C32" s="329" t="str">
        <f>IF('Ingoing substances_DID'!G32="","",'Ingoing substances_DID'!G32)</f>
        <v/>
      </c>
      <c r="D32" s="331" t="str">
        <f>IF(OR('Ingoing Substances'!Q32="N",'Ingoing substances_DID'!O32="R"),"",C32)</f>
        <v/>
      </c>
      <c r="E32" s="376" t="str">
        <f>IF(OR('Ingoing Substances'!T32="N",'Ingoing substances_DID'!P32="Y"),"",C32)</f>
        <v/>
      </c>
      <c r="F32" s="384" t="str">
        <f>IF(B32="","",C32*Product!$C$40/100)</f>
        <v/>
      </c>
      <c r="G32" s="330" t="str">
        <f>IF(B32="","",F32*'Ingoing substances_DID'!M32/'Ingoing substances_DID'!N32*1000)</f>
        <v/>
      </c>
      <c r="H32" s="331" t="str">
        <f>IF(B32="","",(IF(OR('Ingoing Substances'!O32="N",'Ingoing substances_DID'!O32="R"),"",F32)))</f>
        <v/>
      </c>
      <c r="I32" s="331" t="str">
        <f>IF(B32="","",IF(OR('Ingoing Substances'!O32="N",'Ingoing substances_DID'!Q32="Y"),"",F32))</f>
        <v/>
      </c>
      <c r="J32" s="385" t="str">
        <f>IF('Ingoing Substances'!U32="","",'Ingoing Substances'!U32*F32/100)</f>
        <v/>
      </c>
      <c r="K32" s="384" t="str">
        <f>IF(B32="","",C32*Product!$D$40/100)</f>
        <v/>
      </c>
      <c r="L32" s="330" t="str">
        <f>IF(B32="","",K32*'Ingoing substances_DID'!M32/'Ingoing substances_DID'!N32*1000)</f>
        <v/>
      </c>
      <c r="M32" s="332" t="str">
        <f>IF(B32="","",(IF(OR('Ingoing Substances'!O32="N",'Ingoing substances_DID'!O32="R"),"",K32)))</f>
        <v/>
      </c>
      <c r="N32" s="332" t="str">
        <f>IF(B32="","",IF(OR('Ingoing Substances'!O32="N",'Ingoing substances_DID'!Q32="Y"),"",K32))</f>
        <v/>
      </c>
      <c r="O32" s="385" t="str">
        <f>IF('Ingoing Substances'!U32="","",'Ingoing Substances'!U32*K32/100)</f>
        <v/>
      </c>
      <c r="P32" s="384" t="str">
        <f>IF(B32="","",C32*Product!$E$40/100)</f>
        <v/>
      </c>
      <c r="Q32" s="330" t="str">
        <f>IF(B32="","",P32*'Ingoing substances_DID'!M32/'Ingoing substances_DID'!N32*1000)</f>
        <v/>
      </c>
      <c r="R32" s="332" t="str">
        <f>IF(B32="","",(IF(OR('Ingoing Substances'!O32="N",'Ingoing substances_DID'!O32="R"),"",P32)))</f>
        <v/>
      </c>
      <c r="S32" s="332" t="str">
        <f>IF(B32="","",IF(OR('Ingoing Substances'!O32="N",'Ingoing substances_DID'!Q32="Y"),"",P32))</f>
        <v/>
      </c>
      <c r="T32" s="385" t="str">
        <f>IF('Ingoing Substances'!U32="","",'Ingoing Substances'!U32*P32/100)</f>
        <v/>
      </c>
    </row>
    <row r="33" spans="1:20" x14ac:dyDescent="0.15">
      <c r="A33" s="37">
        <v>22</v>
      </c>
      <c r="B33" s="328" t="str">
        <f>IF('Ingoing substances_DID'!B33="","",'Ingoing substances_DID'!B33)</f>
        <v/>
      </c>
      <c r="C33" s="329" t="str">
        <f>IF('Ingoing substances_DID'!G33="","",'Ingoing substances_DID'!G33)</f>
        <v/>
      </c>
      <c r="D33" s="331" t="str">
        <f>IF(OR('Ingoing Substances'!Q33="N",'Ingoing substances_DID'!O33="R"),"",C33)</f>
        <v/>
      </c>
      <c r="E33" s="376" t="str">
        <f>IF(OR('Ingoing Substances'!T33="N",'Ingoing substances_DID'!P33="Y"),"",C33)</f>
        <v/>
      </c>
      <c r="F33" s="384" t="str">
        <f>IF(B33="","",C33*Product!$C$40/100)</f>
        <v/>
      </c>
      <c r="G33" s="330" t="str">
        <f>IF(B33="","",F33*'Ingoing substances_DID'!M33/'Ingoing substances_DID'!N33*1000)</f>
        <v/>
      </c>
      <c r="H33" s="331" t="str">
        <f>IF(B33="","",(IF(OR('Ingoing Substances'!O33="N",'Ingoing substances_DID'!O33="R"),"",F33)))</f>
        <v/>
      </c>
      <c r="I33" s="331" t="str">
        <f>IF(B33="","",IF(OR('Ingoing Substances'!O33="N",'Ingoing substances_DID'!Q33="Y"),"",F33))</f>
        <v/>
      </c>
      <c r="J33" s="385" t="str">
        <f>IF('Ingoing Substances'!U33="","",'Ingoing Substances'!U33*F33/100)</f>
        <v/>
      </c>
      <c r="K33" s="384" t="str">
        <f>IF(B33="","",C33*Product!$D$40/100)</f>
        <v/>
      </c>
      <c r="L33" s="330" t="str">
        <f>IF(B33="","",K33*'Ingoing substances_DID'!M33/'Ingoing substances_DID'!N33*1000)</f>
        <v/>
      </c>
      <c r="M33" s="332" t="str">
        <f>IF(B33="","",(IF(OR('Ingoing Substances'!O33="N",'Ingoing substances_DID'!O33="R"),"",K33)))</f>
        <v/>
      </c>
      <c r="N33" s="332" t="str">
        <f>IF(B33="","",IF(OR('Ingoing Substances'!O33="N",'Ingoing substances_DID'!Q33="Y"),"",K33))</f>
        <v/>
      </c>
      <c r="O33" s="385" t="str">
        <f>IF('Ingoing Substances'!U33="","",'Ingoing Substances'!U33*K33/100)</f>
        <v/>
      </c>
      <c r="P33" s="384" t="str">
        <f>IF(B33="","",C33*Product!$E$40/100)</f>
        <v/>
      </c>
      <c r="Q33" s="330" t="str">
        <f>IF(B33="","",P33*'Ingoing substances_DID'!M33/'Ingoing substances_DID'!N33*1000)</f>
        <v/>
      </c>
      <c r="R33" s="332" t="str">
        <f>IF(B33="","",(IF(OR('Ingoing Substances'!O33="N",'Ingoing substances_DID'!O33="R"),"",P33)))</f>
        <v/>
      </c>
      <c r="S33" s="332" t="str">
        <f>IF(B33="","",IF(OR('Ingoing Substances'!O33="N",'Ingoing substances_DID'!Q33="Y"),"",P33))</f>
        <v/>
      </c>
      <c r="T33" s="385" t="str">
        <f>IF('Ingoing Substances'!U33="","",'Ingoing Substances'!U33*P33/100)</f>
        <v/>
      </c>
    </row>
    <row r="34" spans="1:20" x14ac:dyDescent="0.15">
      <c r="A34" s="37">
        <v>23</v>
      </c>
      <c r="B34" s="328" t="str">
        <f>IF('Ingoing substances_DID'!B34="","",'Ingoing substances_DID'!B34)</f>
        <v/>
      </c>
      <c r="C34" s="329" t="str">
        <f>IF('Ingoing substances_DID'!G34="","",'Ingoing substances_DID'!G34)</f>
        <v/>
      </c>
      <c r="D34" s="331" t="str">
        <f>IF(OR('Ingoing Substances'!Q34="N",'Ingoing substances_DID'!O34="R"),"",C34)</f>
        <v/>
      </c>
      <c r="E34" s="376" t="str">
        <f>IF(OR('Ingoing Substances'!T34="N",'Ingoing substances_DID'!P34="Y"),"",C34)</f>
        <v/>
      </c>
      <c r="F34" s="384" t="str">
        <f>IF(B34="","",C34*Product!$C$40/100)</f>
        <v/>
      </c>
      <c r="G34" s="330" t="str">
        <f>IF(B34="","",F34*'Ingoing substances_DID'!M34/'Ingoing substances_DID'!N34*1000)</f>
        <v/>
      </c>
      <c r="H34" s="331" t="str">
        <f>IF(B34="","",(IF(OR('Ingoing Substances'!O34="N",'Ingoing substances_DID'!O34="R"),"",F34)))</f>
        <v/>
      </c>
      <c r="I34" s="331" t="str">
        <f>IF(B34="","",IF(OR('Ingoing Substances'!O34="N",'Ingoing substances_DID'!Q34="Y"),"",F34))</f>
        <v/>
      </c>
      <c r="J34" s="385" t="str">
        <f>IF('Ingoing Substances'!U34="","",'Ingoing Substances'!U34*F34/100)</f>
        <v/>
      </c>
      <c r="K34" s="384" t="str">
        <f>IF(B34="","",C34*Product!$D$40/100)</f>
        <v/>
      </c>
      <c r="L34" s="330" t="str">
        <f>IF(B34="","",K34*'Ingoing substances_DID'!M34/'Ingoing substances_DID'!N34*1000)</f>
        <v/>
      </c>
      <c r="M34" s="332" t="str">
        <f>IF(B34="","",(IF(OR('Ingoing Substances'!O34="N",'Ingoing substances_DID'!O34="R"),"",K34)))</f>
        <v/>
      </c>
      <c r="N34" s="332" t="str">
        <f>IF(B34="","",IF(OR('Ingoing Substances'!O34="N",'Ingoing substances_DID'!Q34="Y"),"",K34))</f>
        <v/>
      </c>
      <c r="O34" s="385" t="str">
        <f>IF('Ingoing Substances'!U34="","",'Ingoing Substances'!U34*K34/100)</f>
        <v/>
      </c>
      <c r="P34" s="384" t="str">
        <f>IF(B34="","",C34*Product!$E$40/100)</f>
        <v/>
      </c>
      <c r="Q34" s="330" t="str">
        <f>IF(B34="","",P34*'Ingoing substances_DID'!M34/'Ingoing substances_DID'!N34*1000)</f>
        <v/>
      </c>
      <c r="R34" s="332" t="str">
        <f>IF(B34="","",(IF(OR('Ingoing Substances'!O34="N",'Ingoing substances_DID'!O34="R"),"",P34)))</f>
        <v/>
      </c>
      <c r="S34" s="332" t="str">
        <f>IF(B34="","",IF(OR('Ingoing Substances'!O34="N",'Ingoing substances_DID'!Q34="Y"),"",P34))</f>
        <v/>
      </c>
      <c r="T34" s="385" t="str">
        <f>IF('Ingoing Substances'!U34="","",'Ingoing Substances'!U34*P34/100)</f>
        <v/>
      </c>
    </row>
    <row r="35" spans="1:20" x14ac:dyDescent="0.15">
      <c r="A35" s="37">
        <v>24</v>
      </c>
      <c r="B35" s="328" t="str">
        <f>IF('Ingoing substances_DID'!B35="","",'Ingoing substances_DID'!B35)</f>
        <v/>
      </c>
      <c r="C35" s="329" t="str">
        <f>IF('Ingoing substances_DID'!G35="","",'Ingoing substances_DID'!G35)</f>
        <v/>
      </c>
      <c r="D35" s="331" t="str">
        <f>IF(OR('Ingoing Substances'!Q35="N",'Ingoing substances_DID'!O35="R"),"",C35)</f>
        <v/>
      </c>
      <c r="E35" s="376" t="str">
        <f>IF(OR('Ingoing Substances'!T35="N",'Ingoing substances_DID'!P35="Y"),"",C35)</f>
        <v/>
      </c>
      <c r="F35" s="384" t="str">
        <f>IF(B35="","",C35*Product!$C$40/100)</f>
        <v/>
      </c>
      <c r="G35" s="330" t="str">
        <f>IF(B35="","",F35*'Ingoing substances_DID'!M35/'Ingoing substances_DID'!N35*1000)</f>
        <v/>
      </c>
      <c r="H35" s="331" t="str">
        <f>IF(B35="","",(IF(OR('Ingoing Substances'!O35="N",'Ingoing substances_DID'!O35="R"),"",F35)))</f>
        <v/>
      </c>
      <c r="I35" s="331" t="str">
        <f>IF(B35="","",IF(OR('Ingoing Substances'!O35="N",'Ingoing substances_DID'!Q35="Y"),"",F35))</f>
        <v/>
      </c>
      <c r="J35" s="385" t="str">
        <f>IF('Ingoing Substances'!U35="","",'Ingoing Substances'!U35*F35/100)</f>
        <v/>
      </c>
      <c r="K35" s="384" t="str">
        <f>IF(B35="","",C35*Product!$D$40/100)</f>
        <v/>
      </c>
      <c r="L35" s="330" t="str">
        <f>IF(B35="","",K35*'Ingoing substances_DID'!M35/'Ingoing substances_DID'!N35*1000)</f>
        <v/>
      </c>
      <c r="M35" s="332" t="str">
        <f>IF(B35="","",(IF(OR('Ingoing Substances'!O35="N",'Ingoing substances_DID'!O35="R"),"",K35)))</f>
        <v/>
      </c>
      <c r="N35" s="332" t="str">
        <f>IF(B35="","",IF(OR('Ingoing Substances'!O35="N",'Ingoing substances_DID'!Q35="Y"),"",K35))</f>
        <v/>
      </c>
      <c r="O35" s="385" t="str">
        <f>IF('Ingoing Substances'!U35="","",'Ingoing Substances'!U35*K35/100)</f>
        <v/>
      </c>
      <c r="P35" s="384" t="str">
        <f>IF(B35="","",C35*Product!$E$40/100)</f>
        <v/>
      </c>
      <c r="Q35" s="330" t="str">
        <f>IF(B35="","",P35*'Ingoing substances_DID'!M35/'Ingoing substances_DID'!N35*1000)</f>
        <v/>
      </c>
      <c r="R35" s="332" t="str">
        <f>IF(B35="","",(IF(OR('Ingoing Substances'!O35="N",'Ingoing substances_DID'!O35="R"),"",P35)))</f>
        <v/>
      </c>
      <c r="S35" s="332" t="str">
        <f>IF(B35="","",IF(OR('Ingoing Substances'!O35="N",'Ingoing substances_DID'!Q35="Y"),"",P35))</f>
        <v/>
      </c>
      <c r="T35" s="385" t="str">
        <f>IF('Ingoing Substances'!U35="","",'Ingoing Substances'!U35*P35/100)</f>
        <v/>
      </c>
    </row>
    <row r="36" spans="1:20" x14ac:dyDescent="0.15">
      <c r="A36" s="37">
        <v>25</v>
      </c>
      <c r="B36" s="328" t="str">
        <f>IF('Ingoing substances_DID'!B36="","",'Ingoing substances_DID'!B36)</f>
        <v/>
      </c>
      <c r="C36" s="329" t="str">
        <f>IF('Ingoing substances_DID'!G36="","",'Ingoing substances_DID'!G36)</f>
        <v/>
      </c>
      <c r="D36" s="331" t="str">
        <f>IF(OR('Ingoing Substances'!Q36="N",'Ingoing substances_DID'!O36="R"),"",C36)</f>
        <v/>
      </c>
      <c r="E36" s="376" t="str">
        <f>IF(OR('Ingoing Substances'!T36="N",'Ingoing substances_DID'!P36="Y"),"",C36)</f>
        <v/>
      </c>
      <c r="F36" s="384" t="str">
        <f>IF(B36="","",C36*Product!$C$40/100)</f>
        <v/>
      </c>
      <c r="G36" s="330" t="str">
        <f>IF(B36="","",F36*'Ingoing substances_DID'!M36/'Ingoing substances_DID'!N36*1000)</f>
        <v/>
      </c>
      <c r="H36" s="331" t="str">
        <f>IF(B36="","",(IF(OR('Ingoing Substances'!O36="N",'Ingoing substances_DID'!O36="R"),"",F36)))</f>
        <v/>
      </c>
      <c r="I36" s="331" t="str">
        <f>IF(B36="","",IF(OR('Ingoing Substances'!O36="N",'Ingoing substances_DID'!Q36="Y"),"",F36))</f>
        <v/>
      </c>
      <c r="J36" s="385" t="str">
        <f>IF('Ingoing Substances'!U36="","",'Ingoing Substances'!U36*F36/100)</f>
        <v/>
      </c>
      <c r="K36" s="384" t="str">
        <f>IF(B36="","",C36*Product!$D$40/100)</f>
        <v/>
      </c>
      <c r="L36" s="330" t="str">
        <f>IF(B36="","",K36*'Ingoing substances_DID'!M36/'Ingoing substances_DID'!N36*1000)</f>
        <v/>
      </c>
      <c r="M36" s="332" t="str">
        <f>IF(B36="","",(IF(OR('Ingoing Substances'!O36="N",'Ingoing substances_DID'!O36="R"),"",K36)))</f>
        <v/>
      </c>
      <c r="N36" s="332" t="str">
        <f>IF(B36="","",IF(OR('Ingoing Substances'!O36="N",'Ingoing substances_DID'!Q36="Y"),"",K36))</f>
        <v/>
      </c>
      <c r="O36" s="385" t="str">
        <f>IF('Ingoing Substances'!U36="","",'Ingoing Substances'!U36*K36/100)</f>
        <v/>
      </c>
      <c r="P36" s="384" t="str">
        <f>IF(B36="","",C36*Product!$E$40/100)</f>
        <v/>
      </c>
      <c r="Q36" s="330" t="str">
        <f>IF(B36="","",P36*'Ingoing substances_DID'!M36/'Ingoing substances_DID'!N36*1000)</f>
        <v/>
      </c>
      <c r="R36" s="332" t="str">
        <f>IF(B36="","",(IF(OR('Ingoing Substances'!O36="N",'Ingoing substances_DID'!O36="R"),"",P36)))</f>
        <v/>
      </c>
      <c r="S36" s="332" t="str">
        <f>IF(B36="","",IF(OR('Ingoing Substances'!O36="N",'Ingoing substances_DID'!Q36="Y"),"",P36))</f>
        <v/>
      </c>
      <c r="T36" s="385" t="str">
        <f>IF('Ingoing Substances'!U36="","",'Ingoing Substances'!U36*P36/100)</f>
        <v/>
      </c>
    </row>
    <row r="37" spans="1:20" x14ac:dyDescent="0.15">
      <c r="A37" s="37">
        <v>26</v>
      </c>
      <c r="B37" s="328" t="str">
        <f>IF('Ingoing substances_DID'!B37="","",'Ingoing substances_DID'!B37)</f>
        <v/>
      </c>
      <c r="C37" s="329" t="str">
        <f>IF('Ingoing substances_DID'!G37="","",'Ingoing substances_DID'!G37)</f>
        <v/>
      </c>
      <c r="D37" s="331" t="str">
        <f>IF(OR('Ingoing Substances'!Q37="N",'Ingoing substances_DID'!O37="R"),"",C37)</f>
        <v/>
      </c>
      <c r="E37" s="376" t="str">
        <f>IF(OR('Ingoing Substances'!T37="N",'Ingoing substances_DID'!P37="Y"),"",C37)</f>
        <v/>
      </c>
      <c r="F37" s="384" t="str">
        <f>IF(B37="","",C37*Product!$C$40/100)</f>
        <v/>
      </c>
      <c r="G37" s="330" t="str">
        <f>IF(B37="","",F37*'Ingoing substances_DID'!M37/'Ingoing substances_DID'!N37*1000)</f>
        <v/>
      </c>
      <c r="H37" s="331" t="str">
        <f>IF(B37="","",(IF(OR('Ingoing Substances'!O37="N",'Ingoing substances_DID'!O37="R"),"",F37)))</f>
        <v/>
      </c>
      <c r="I37" s="331" t="str">
        <f>IF(B37="","",IF(OR('Ingoing Substances'!O37="N",'Ingoing substances_DID'!Q37="Y"),"",F37))</f>
        <v/>
      </c>
      <c r="J37" s="385" t="str">
        <f>IF('Ingoing Substances'!U37="","",'Ingoing Substances'!U37*F37/100)</f>
        <v/>
      </c>
      <c r="K37" s="384" t="str">
        <f>IF(B37="","",C37*Product!$D$40/100)</f>
        <v/>
      </c>
      <c r="L37" s="330" t="str">
        <f>IF(B37="","",K37*'Ingoing substances_DID'!M37/'Ingoing substances_DID'!N37*1000)</f>
        <v/>
      </c>
      <c r="M37" s="332" t="str">
        <f>IF(B37="","",(IF(OR('Ingoing Substances'!O37="N",'Ingoing substances_DID'!O37="R"),"",K37)))</f>
        <v/>
      </c>
      <c r="N37" s="332" t="str">
        <f>IF(B37="","",IF(OR('Ingoing Substances'!O37="N",'Ingoing substances_DID'!Q37="Y"),"",K37))</f>
        <v/>
      </c>
      <c r="O37" s="385" t="str">
        <f>IF('Ingoing Substances'!U37="","",'Ingoing Substances'!U37*K37/100)</f>
        <v/>
      </c>
      <c r="P37" s="384" t="str">
        <f>IF(B37="","",C37*Product!$E$40/100)</f>
        <v/>
      </c>
      <c r="Q37" s="330" t="str">
        <f>IF(B37="","",P37*'Ingoing substances_DID'!M37/'Ingoing substances_DID'!N37*1000)</f>
        <v/>
      </c>
      <c r="R37" s="332" t="str">
        <f>IF(B37="","",(IF(OR('Ingoing Substances'!O37="N",'Ingoing substances_DID'!O37="R"),"",P37)))</f>
        <v/>
      </c>
      <c r="S37" s="332" t="str">
        <f>IF(B37="","",IF(OR('Ingoing Substances'!O37="N",'Ingoing substances_DID'!Q37="Y"),"",P37))</f>
        <v/>
      </c>
      <c r="T37" s="385" t="str">
        <f>IF('Ingoing Substances'!U37="","",'Ingoing Substances'!U37*P37/100)</f>
        <v/>
      </c>
    </row>
    <row r="38" spans="1:20" x14ac:dyDescent="0.15">
      <c r="A38" s="37">
        <v>27</v>
      </c>
      <c r="B38" s="328" t="str">
        <f>IF('Ingoing substances_DID'!B38="","",'Ingoing substances_DID'!B38)</f>
        <v/>
      </c>
      <c r="C38" s="329" t="str">
        <f>IF('Ingoing substances_DID'!G38="","",'Ingoing substances_DID'!G38)</f>
        <v/>
      </c>
      <c r="D38" s="331" t="str">
        <f>IF(OR('Ingoing Substances'!Q38="N",'Ingoing substances_DID'!O38="R"),"",C38)</f>
        <v/>
      </c>
      <c r="E38" s="376" t="str">
        <f>IF(OR('Ingoing Substances'!T38="N",'Ingoing substances_DID'!P38="Y"),"",C38)</f>
        <v/>
      </c>
      <c r="F38" s="384" t="str">
        <f>IF(B38="","",C38*Product!$C$40/100)</f>
        <v/>
      </c>
      <c r="G38" s="330" t="str">
        <f>IF(B38="","",F38*'Ingoing substances_DID'!M38/'Ingoing substances_DID'!N38*1000)</f>
        <v/>
      </c>
      <c r="H38" s="331" t="str">
        <f>IF(B38="","",(IF(OR('Ingoing Substances'!O38="N",'Ingoing substances_DID'!O38="R"),"",F38)))</f>
        <v/>
      </c>
      <c r="I38" s="331" t="str">
        <f>IF(B38="","",IF(OR('Ingoing Substances'!O38="N",'Ingoing substances_DID'!Q38="Y"),"",F38))</f>
        <v/>
      </c>
      <c r="J38" s="385" t="str">
        <f>IF('Ingoing Substances'!U38="","",'Ingoing Substances'!U38*F38/100)</f>
        <v/>
      </c>
      <c r="K38" s="384" t="str">
        <f>IF(B38="","",C38*Product!$D$40/100)</f>
        <v/>
      </c>
      <c r="L38" s="330" t="str">
        <f>IF(B38="","",K38*'Ingoing substances_DID'!M38/'Ingoing substances_DID'!N38*1000)</f>
        <v/>
      </c>
      <c r="M38" s="332" t="str">
        <f>IF(B38="","",(IF(OR('Ingoing Substances'!O38="N",'Ingoing substances_DID'!O38="R"),"",K38)))</f>
        <v/>
      </c>
      <c r="N38" s="332" t="str">
        <f>IF(B38="","",IF(OR('Ingoing Substances'!O38="N",'Ingoing substances_DID'!Q38="Y"),"",K38))</f>
        <v/>
      </c>
      <c r="O38" s="385" t="str">
        <f>IF('Ingoing Substances'!U38="","",'Ingoing Substances'!U38*K38/100)</f>
        <v/>
      </c>
      <c r="P38" s="384" t="str">
        <f>IF(B38="","",C38*Product!$E$40/100)</f>
        <v/>
      </c>
      <c r="Q38" s="330" t="str">
        <f>IF(B38="","",P38*'Ingoing substances_DID'!M38/'Ingoing substances_DID'!N38*1000)</f>
        <v/>
      </c>
      <c r="R38" s="332" t="str">
        <f>IF(B38="","",(IF(OR('Ingoing Substances'!O38="N",'Ingoing substances_DID'!O38="R"),"",P38)))</f>
        <v/>
      </c>
      <c r="S38" s="332" t="str">
        <f>IF(B38="","",IF(OR('Ingoing Substances'!O38="N",'Ingoing substances_DID'!Q38="Y"),"",P38))</f>
        <v/>
      </c>
      <c r="T38" s="385" t="str">
        <f>IF('Ingoing Substances'!U38="","",'Ingoing Substances'!U38*P38/100)</f>
        <v/>
      </c>
    </row>
    <row r="39" spans="1:20" x14ac:dyDescent="0.15">
      <c r="A39" s="37">
        <v>28</v>
      </c>
      <c r="B39" s="328" t="str">
        <f>IF('Ingoing substances_DID'!B39="","",'Ingoing substances_DID'!B39)</f>
        <v/>
      </c>
      <c r="C39" s="329" t="str">
        <f>IF('Ingoing substances_DID'!G39="","",'Ingoing substances_DID'!G39)</f>
        <v/>
      </c>
      <c r="D39" s="331" t="str">
        <f>IF(OR('Ingoing Substances'!Q39="N",'Ingoing substances_DID'!O39="R"),"",C39)</f>
        <v/>
      </c>
      <c r="E39" s="376" t="str">
        <f>IF(OR('Ingoing Substances'!T39="N",'Ingoing substances_DID'!P39="Y"),"",C39)</f>
        <v/>
      </c>
      <c r="F39" s="384" t="str">
        <f>IF(B39="","",C39*Product!$C$40/100)</f>
        <v/>
      </c>
      <c r="G39" s="330" t="str">
        <f>IF(B39="","",F39*'Ingoing substances_DID'!M39/'Ingoing substances_DID'!N39*1000)</f>
        <v/>
      </c>
      <c r="H39" s="331" t="str">
        <f>IF(B39="","",(IF(OR('Ingoing Substances'!O39="N",'Ingoing substances_DID'!O39="R"),"",F39)))</f>
        <v/>
      </c>
      <c r="I39" s="331" t="str">
        <f>IF(B39="","",IF(OR('Ingoing Substances'!O39="N",'Ingoing substances_DID'!Q39="Y"),"",F39))</f>
        <v/>
      </c>
      <c r="J39" s="385" t="str">
        <f>IF('Ingoing Substances'!U39="","",'Ingoing Substances'!U39*F39/100)</f>
        <v/>
      </c>
      <c r="K39" s="384" t="str">
        <f>IF(B39="","",C39*Product!$D$40/100)</f>
        <v/>
      </c>
      <c r="L39" s="330" t="str">
        <f>IF(B39="","",K39*'Ingoing substances_DID'!M39/'Ingoing substances_DID'!N39*1000)</f>
        <v/>
      </c>
      <c r="M39" s="332" t="str">
        <f>IF(B39="","",(IF(OR('Ingoing Substances'!O39="N",'Ingoing substances_DID'!O39="R"),"",K39)))</f>
        <v/>
      </c>
      <c r="N39" s="332" t="str">
        <f>IF(B39="","",IF(OR('Ingoing Substances'!O39="N",'Ingoing substances_DID'!Q39="Y"),"",K39))</f>
        <v/>
      </c>
      <c r="O39" s="385" t="str">
        <f>IF('Ingoing Substances'!U39="","",'Ingoing Substances'!U39*K39/100)</f>
        <v/>
      </c>
      <c r="P39" s="384" t="str">
        <f>IF(B39="","",C39*Product!$E$40/100)</f>
        <v/>
      </c>
      <c r="Q39" s="330" t="str">
        <f>IF(B39="","",P39*'Ingoing substances_DID'!M39/'Ingoing substances_DID'!N39*1000)</f>
        <v/>
      </c>
      <c r="R39" s="332" t="str">
        <f>IF(B39="","",(IF(OR('Ingoing Substances'!O39="N",'Ingoing substances_DID'!O39="R"),"",P39)))</f>
        <v/>
      </c>
      <c r="S39" s="332" t="str">
        <f>IF(B39="","",IF(OR('Ingoing Substances'!O39="N",'Ingoing substances_DID'!Q39="Y"),"",P39))</f>
        <v/>
      </c>
      <c r="T39" s="385" t="str">
        <f>IF('Ingoing Substances'!U39="","",'Ingoing Substances'!U39*P39/100)</f>
        <v/>
      </c>
    </row>
    <row r="40" spans="1:20" x14ac:dyDescent="0.15">
      <c r="A40" s="37">
        <v>29</v>
      </c>
      <c r="B40" s="328" t="str">
        <f>IF('Ingoing substances_DID'!B40="","",'Ingoing substances_DID'!B40)</f>
        <v/>
      </c>
      <c r="C40" s="329" t="str">
        <f>IF('Ingoing substances_DID'!G40="","",'Ingoing substances_DID'!G40)</f>
        <v/>
      </c>
      <c r="D40" s="331" t="str">
        <f>IF(OR('Ingoing Substances'!Q40="N",'Ingoing substances_DID'!O40="R"),"",C40)</f>
        <v/>
      </c>
      <c r="E40" s="376" t="str">
        <f>IF(OR('Ingoing Substances'!T40="N",'Ingoing substances_DID'!P40="Y"),"",C40)</f>
        <v/>
      </c>
      <c r="F40" s="384" t="str">
        <f>IF(B40="","",C40*Product!$C$40/100)</f>
        <v/>
      </c>
      <c r="G40" s="330" t="str">
        <f>IF(B40="","",F40*'Ingoing substances_DID'!M40/'Ingoing substances_DID'!N40*1000)</f>
        <v/>
      </c>
      <c r="H40" s="331" t="str">
        <f>IF(B40="","",(IF(OR('Ingoing Substances'!O40="N",'Ingoing substances_DID'!O40="R"),"",F40)))</f>
        <v/>
      </c>
      <c r="I40" s="331" t="str">
        <f>IF(B40="","",IF(OR('Ingoing Substances'!O40="N",'Ingoing substances_DID'!Q40="Y"),"",F40))</f>
        <v/>
      </c>
      <c r="J40" s="385" t="str">
        <f>IF('Ingoing Substances'!U40="","",'Ingoing Substances'!U40*F40/100)</f>
        <v/>
      </c>
      <c r="K40" s="384" t="str">
        <f>IF(B40="","",C40*Product!$D$40/100)</f>
        <v/>
      </c>
      <c r="L40" s="330" t="str">
        <f>IF(B40="","",K40*'Ingoing substances_DID'!M40/'Ingoing substances_DID'!N40*1000)</f>
        <v/>
      </c>
      <c r="M40" s="332" t="str">
        <f>IF(B40="","",(IF(OR('Ingoing Substances'!O40="N",'Ingoing substances_DID'!O40="R"),"",K40)))</f>
        <v/>
      </c>
      <c r="N40" s="332" t="str">
        <f>IF(B40="","",IF(OR('Ingoing Substances'!O40="N",'Ingoing substances_DID'!Q40="Y"),"",K40))</f>
        <v/>
      </c>
      <c r="O40" s="385" t="str">
        <f>IF('Ingoing Substances'!U40="","",'Ingoing Substances'!U40*K40/100)</f>
        <v/>
      </c>
      <c r="P40" s="384" t="str">
        <f>IF(B40="","",C40*Product!$E$40/100)</f>
        <v/>
      </c>
      <c r="Q40" s="330" t="str">
        <f>IF(B40="","",P40*'Ingoing substances_DID'!M40/'Ingoing substances_DID'!N40*1000)</f>
        <v/>
      </c>
      <c r="R40" s="332" t="str">
        <f>IF(B40="","",(IF(OR('Ingoing Substances'!O40="N",'Ingoing substances_DID'!O40="R"),"",P40)))</f>
        <v/>
      </c>
      <c r="S40" s="332" t="str">
        <f>IF(B40="","",IF(OR('Ingoing Substances'!O40="N",'Ingoing substances_DID'!Q40="Y"),"",P40))</f>
        <v/>
      </c>
      <c r="T40" s="385" t="str">
        <f>IF('Ingoing Substances'!U40="","",'Ingoing Substances'!U40*P40/100)</f>
        <v/>
      </c>
    </row>
    <row r="41" spans="1:20" x14ac:dyDescent="0.15">
      <c r="A41" s="37">
        <v>30</v>
      </c>
      <c r="B41" s="328" t="str">
        <f>IF('Ingoing substances_DID'!B41="","",'Ingoing substances_DID'!B41)</f>
        <v/>
      </c>
      <c r="C41" s="329" t="str">
        <f>IF('Ingoing substances_DID'!G41="","",'Ingoing substances_DID'!G41)</f>
        <v/>
      </c>
      <c r="D41" s="331" t="str">
        <f>IF(OR('Ingoing Substances'!Q41="N",'Ingoing substances_DID'!O41="R"),"",C41)</f>
        <v/>
      </c>
      <c r="E41" s="376" t="str">
        <f>IF(OR('Ingoing Substances'!T41="N",'Ingoing substances_DID'!P41="Y"),"",C41)</f>
        <v/>
      </c>
      <c r="F41" s="384" t="str">
        <f>IF(B41="","",C41*Product!$C$40/100)</f>
        <v/>
      </c>
      <c r="G41" s="330" t="str">
        <f>IF(B41="","",F41*'Ingoing substances_DID'!M41/'Ingoing substances_DID'!N41*1000)</f>
        <v/>
      </c>
      <c r="H41" s="331" t="str">
        <f>IF(B41="","",(IF(OR('Ingoing Substances'!O41="N",'Ingoing substances_DID'!O41="R"),"",F41)))</f>
        <v/>
      </c>
      <c r="I41" s="331" t="str">
        <f>IF(B41="","",IF(OR('Ingoing Substances'!O41="N",'Ingoing substances_DID'!Q41="Y"),"",F41))</f>
        <v/>
      </c>
      <c r="J41" s="385" t="str">
        <f>IF('Ingoing Substances'!U41="","",'Ingoing Substances'!U41*F41/100)</f>
        <v/>
      </c>
      <c r="K41" s="384" t="str">
        <f>IF(B41="","",C41*Product!$D$40/100)</f>
        <v/>
      </c>
      <c r="L41" s="330" t="str">
        <f>IF(B41="","",K41*'Ingoing substances_DID'!M41/'Ingoing substances_DID'!N41*1000)</f>
        <v/>
      </c>
      <c r="M41" s="332" t="str">
        <f>IF(B41="","",(IF(OR('Ingoing Substances'!O41="N",'Ingoing substances_DID'!O41="R"),"",K41)))</f>
        <v/>
      </c>
      <c r="N41" s="332" t="str">
        <f>IF(B41="","",IF(OR('Ingoing Substances'!O41="N",'Ingoing substances_DID'!Q41="Y"),"",K41))</f>
        <v/>
      </c>
      <c r="O41" s="385" t="str">
        <f>IF('Ingoing Substances'!U41="","",'Ingoing Substances'!U41*K41/100)</f>
        <v/>
      </c>
      <c r="P41" s="384" t="str">
        <f>IF(B41="","",C41*Product!$E$40/100)</f>
        <v/>
      </c>
      <c r="Q41" s="330" t="str">
        <f>IF(B41="","",P41*'Ingoing substances_DID'!M41/'Ingoing substances_DID'!N41*1000)</f>
        <v/>
      </c>
      <c r="R41" s="332" t="str">
        <f>IF(B41="","",(IF(OR('Ingoing Substances'!O41="N",'Ingoing substances_DID'!O41="R"),"",P41)))</f>
        <v/>
      </c>
      <c r="S41" s="332" t="str">
        <f>IF(B41="","",IF(OR('Ingoing Substances'!O41="N",'Ingoing substances_DID'!Q41="Y"),"",P41))</f>
        <v/>
      </c>
      <c r="T41" s="385" t="str">
        <f>IF('Ingoing Substances'!U41="","",'Ingoing Substances'!U41*P41/100)</f>
        <v/>
      </c>
    </row>
    <row r="42" spans="1:20" x14ac:dyDescent="0.15">
      <c r="A42" s="37">
        <v>31</v>
      </c>
      <c r="B42" s="328" t="str">
        <f>IF('Ingoing substances_DID'!B42="","",'Ingoing substances_DID'!B42)</f>
        <v/>
      </c>
      <c r="C42" s="329" t="str">
        <f>IF('Ingoing substances_DID'!G42="","",'Ingoing substances_DID'!G42)</f>
        <v/>
      </c>
      <c r="D42" s="331" t="str">
        <f>IF(OR('Ingoing Substances'!Q42="N",'Ingoing substances_DID'!O42="R"),"",C42)</f>
        <v/>
      </c>
      <c r="E42" s="376" t="str">
        <f>IF(OR('Ingoing Substances'!T42="N",'Ingoing substances_DID'!P42="Y"),"",C42)</f>
        <v/>
      </c>
      <c r="F42" s="384" t="str">
        <f>IF(B42="","",C42*Product!$C$40/100)</f>
        <v/>
      </c>
      <c r="G42" s="330" t="str">
        <f>IF(B42="","",F42*'Ingoing substances_DID'!M42/'Ingoing substances_DID'!N42*1000)</f>
        <v/>
      </c>
      <c r="H42" s="331" t="str">
        <f>IF(B42="","",(IF(OR('Ingoing Substances'!O42="N",'Ingoing substances_DID'!O42="R"),"",F42)))</f>
        <v/>
      </c>
      <c r="I42" s="331" t="str">
        <f>IF(B42="","",IF(OR('Ingoing Substances'!O42="N",'Ingoing substances_DID'!Q42="Y"),"",F42))</f>
        <v/>
      </c>
      <c r="J42" s="385" t="str">
        <f>IF('Ingoing Substances'!U42="","",'Ingoing Substances'!U42*F42/100)</f>
        <v/>
      </c>
      <c r="K42" s="384" t="str">
        <f>IF(B42="","",C42*Product!$D$40/100)</f>
        <v/>
      </c>
      <c r="L42" s="330" t="str">
        <f>IF(B42="","",K42*'Ingoing substances_DID'!M42/'Ingoing substances_DID'!N42*1000)</f>
        <v/>
      </c>
      <c r="M42" s="332" t="str">
        <f>IF(B42="","",(IF(OR('Ingoing Substances'!O42="N",'Ingoing substances_DID'!O42="R"),"",K42)))</f>
        <v/>
      </c>
      <c r="N42" s="332" t="str">
        <f>IF(B42="","",IF(OR('Ingoing Substances'!O42="N",'Ingoing substances_DID'!Q42="Y"),"",K42))</f>
        <v/>
      </c>
      <c r="O42" s="385" t="str">
        <f>IF('Ingoing Substances'!U42="","",'Ingoing Substances'!U42*K42/100)</f>
        <v/>
      </c>
      <c r="P42" s="384" t="str">
        <f>IF(B42="","",C42*Product!$E$40/100)</f>
        <v/>
      </c>
      <c r="Q42" s="330" t="str">
        <f>IF(B42="","",P42*'Ingoing substances_DID'!M42/'Ingoing substances_DID'!N42*1000)</f>
        <v/>
      </c>
      <c r="R42" s="332" t="str">
        <f>IF(B42="","",(IF(OR('Ingoing Substances'!O42="N",'Ingoing substances_DID'!O42="R"),"",P42)))</f>
        <v/>
      </c>
      <c r="S42" s="332" t="str">
        <f>IF(B42="","",IF(OR('Ingoing Substances'!O42="N",'Ingoing substances_DID'!Q42="Y"),"",P42))</f>
        <v/>
      </c>
      <c r="T42" s="385" t="str">
        <f>IF('Ingoing Substances'!U42="","",'Ingoing Substances'!U42*P42/100)</f>
        <v/>
      </c>
    </row>
    <row r="43" spans="1:20" x14ac:dyDescent="0.15">
      <c r="A43" s="37">
        <v>32</v>
      </c>
      <c r="B43" s="328" t="str">
        <f>IF('Ingoing substances_DID'!B43="","",'Ingoing substances_DID'!B43)</f>
        <v/>
      </c>
      <c r="C43" s="329" t="str">
        <f>IF('Ingoing substances_DID'!G43="","",'Ingoing substances_DID'!G43)</f>
        <v/>
      </c>
      <c r="D43" s="331" t="str">
        <f>IF(OR('Ingoing Substances'!Q43="N",'Ingoing substances_DID'!O43="R"),"",C43)</f>
        <v/>
      </c>
      <c r="E43" s="376" t="str">
        <f>IF(OR('Ingoing Substances'!T43="N",'Ingoing substances_DID'!P43="Y"),"",C43)</f>
        <v/>
      </c>
      <c r="F43" s="384" t="str">
        <f>IF(B43="","",C43*Product!$C$40/100)</f>
        <v/>
      </c>
      <c r="G43" s="330" t="str">
        <f>IF(B43="","",F43*'Ingoing substances_DID'!M43/'Ingoing substances_DID'!N43*1000)</f>
        <v/>
      </c>
      <c r="H43" s="331" t="str">
        <f>IF(B43="","",(IF(OR('Ingoing Substances'!O43="N",'Ingoing substances_DID'!O43="R"),"",F43)))</f>
        <v/>
      </c>
      <c r="I43" s="331" t="str">
        <f>IF(B43="","",IF(OR('Ingoing Substances'!O43="N",'Ingoing substances_DID'!Q43="Y"),"",F43))</f>
        <v/>
      </c>
      <c r="J43" s="385" t="str">
        <f>IF('Ingoing Substances'!U43="","",'Ingoing Substances'!U43*F43/100)</f>
        <v/>
      </c>
      <c r="K43" s="384" t="str">
        <f>IF(B43="","",C43*Product!$D$40/100)</f>
        <v/>
      </c>
      <c r="L43" s="330" t="str">
        <f>IF(B43="","",K43*'Ingoing substances_DID'!M43/'Ingoing substances_DID'!N43*1000)</f>
        <v/>
      </c>
      <c r="M43" s="332" t="str">
        <f>IF(B43="","",(IF(OR('Ingoing Substances'!O43="N",'Ingoing substances_DID'!O43="R"),"",K43)))</f>
        <v/>
      </c>
      <c r="N43" s="332" t="str">
        <f>IF(B43="","",IF(OR('Ingoing Substances'!O43="N",'Ingoing substances_DID'!Q43="Y"),"",K43))</f>
        <v/>
      </c>
      <c r="O43" s="385" t="str">
        <f>IF('Ingoing Substances'!U43="","",'Ingoing Substances'!U43*K43/100)</f>
        <v/>
      </c>
      <c r="P43" s="384" t="str">
        <f>IF(B43="","",C43*Product!$E$40/100)</f>
        <v/>
      </c>
      <c r="Q43" s="330" t="str">
        <f>IF(B43="","",P43*'Ingoing substances_DID'!M43/'Ingoing substances_DID'!N43*1000)</f>
        <v/>
      </c>
      <c r="R43" s="332" t="str">
        <f>IF(B43="","",(IF(OR('Ingoing Substances'!O43="N",'Ingoing substances_DID'!O43="R"),"",P43)))</f>
        <v/>
      </c>
      <c r="S43" s="332" t="str">
        <f>IF(B43="","",IF(OR('Ingoing Substances'!O43="N",'Ingoing substances_DID'!Q43="Y"),"",P43))</f>
        <v/>
      </c>
      <c r="T43" s="385" t="str">
        <f>IF('Ingoing Substances'!U43="","",'Ingoing Substances'!U43*P43/100)</f>
        <v/>
      </c>
    </row>
    <row r="44" spans="1:20" x14ac:dyDescent="0.15">
      <c r="A44" s="37">
        <v>33</v>
      </c>
      <c r="B44" s="328" t="str">
        <f>IF('Ingoing substances_DID'!B44="","",'Ingoing substances_DID'!B44)</f>
        <v/>
      </c>
      <c r="C44" s="329" t="str">
        <f>IF('Ingoing substances_DID'!G44="","",'Ingoing substances_DID'!G44)</f>
        <v/>
      </c>
      <c r="D44" s="331" t="str">
        <f>IF(OR('Ingoing Substances'!Q44="N",'Ingoing substances_DID'!O44="R"),"",C44)</f>
        <v/>
      </c>
      <c r="E44" s="376" t="str">
        <f>IF(OR('Ingoing Substances'!T44="N",'Ingoing substances_DID'!P44="Y"),"",C44)</f>
        <v/>
      </c>
      <c r="F44" s="384" t="str">
        <f>IF(B44="","",C44*Product!$C$40/100)</f>
        <v/>
      </c>
      <c r="G44" s="330" t="str">
        <f>IF(B44="","",F44*'Ingoing substances_DID'!M44/'Ingoing substances_DID'!N44*1000)</f>
        <v/>
      </c>
      <c r="H44" s="331" t="str">
        <f>IF(B44="","",(IF(OR('Ingoing Substances'!O44="N",'Ingoing substances_DID'!O44="R"),"",F44)))</f>
        <v/>
      </c>
      <c r="I44" s="331" t="str">
        <f>IF(B44="","",IF(OR('Ingoing Substances'!O44="N",'Ingoing substances_DID'!Q44="Y"),"",F44))</f>
        <v/>
      </c>
      <c r="J44" s="385" t="str">
        <f>IF('Ingoing Substances'!U44="","",'Ingoing Substances'!U44*F44/100)</f>
        <v/>
      </c>
      <c r="K44" s="384" t="str">
        <f>IF(B44="","",C44*Product!$D$40/100)</f>
        <v/>
      </c>
      <c r="L44" s="330" t="str">
        <f>IF(B44="","",K44*'Ingoing substances_DID'!M44/'Ingoing substances_DID'!N44*1000)</f>
        <v/>
      </c>
      <c r="M44" s="332" t="str">
        <f>IF(B44="","",(IF(OR('Ingoing Substances'!O44="N",'Ingoing substances_DID'!O44="R"),"",K44)))</f>
        <v/>
      </c>
      <c r="N44" s="332" t="str">
        <f>IF(B44="","",IF(OR('Ingoing Substances'!O44="N",'Ingoing substances_DID'!Q44="Y"),"",K44))</f>
        <v/>
      </c>
      <c r="O44" s="385" t="str">
        <f>IF('Ingoing Substances'!U44="","",'Ingoing Substances'!U44*K44/100)</f>
        <v/>
      </c>
      <c r="P44" s="384" t="str">
        <f>IF(B44="","",C44*Product!$E$40/100)</f>
        <v/>
      </c>
      <c r="Q44" s="330" t="str">
        <f>IF(B44="","",P44*'Ingoing substances_DID'!M44/'Ingoing substances_DID'!N44*1000)</f>
        <v/>
      </c>
      <c r="R44" s="332" t="str">
        <f>IF(B44="","",(IF(OR('Ingoing Substances'!O44="N",'Ingoing substances_DID'!O44="R"),"",P44)))</f>
        <v/>
      </c>
      <c r="S44" s="332" t="str">
        <f>IF(B44="","",IF(OR('Ingoing Substances'!O44="N",'Ingoing substances_DID'!Q44="Y"),"",P44))</f>
        <v/>
      </c>
      <c r="T44" s="385" t="str">
        <f>IF('Ingoing Substances'!U44="","",'Ingoing Substances'!U44*P44/100)</f>
        <v/>
      </c>
    </row>
    <row r="45" spans="1:20" x14ac:dyDescent="0.15">
      <c r="A45" s="37">
        <v>34</v>
      </c>
      <c r="B45" s="328" t="str">
        <f>IF('Ingoing substances_DID'!B45="","",'Ingoing substances_DID'!B45)</f>
        <v/>
      </c>
      <c r="C45" s="329" t="str">
        <f>IF('Ingoing substances_DID'!G45="","",'Ingoing substances_DID'!G45)</f>
        <v/>
      </c>
      <c r="D45" s="331" t="str">
        <f>IF(OR('Ingoing Substances'!Q45="N",'Ingoing substances_DID'!O45="R"),"",C45)</f>
        <v/>
      </c>
      <c r="E45" s="376" t="str">
        <f>IF(OR('Ingoing Substances'!T45="N",'Ingoing substances_DID'!P45="Y"),"",C45)</f>
        <v/>
      </c>
      <c r="F45" s="384" t="str">
        <f>IF(B45="","",C45*Product!$C$40/100)</f>
        <v/>
      </c>
      <c r="G45" s="330" t="str">
        <f>IF(B45="","",F45*'Ingoing substances_DID'!M45/'Ingoing substances_DID'!N45*1000)</f>
        <v/>
      </c>
      <c r="H45" s="331" t="str">
        <f>IF(B45="","",(IF(OR('Ingoing Substances'!O45="N",'Ingoing substances_DID'!O45="R"),"",F45)))</f>
        <v/>
      </c>
      <c r="I45" s="331" t="str">
        <f>IF(B45="","",IF(OR('Ingoing Substances'!O45="N",'Ingoing substances_DID'!Q45="Y"),"",F45))</f>
        <v/>
      </c>
      <c r="J45" s="385" t="str">
        <f>IF('Ingoing Substances'!U45="","",'Ingoing Substances'!U45*F45/100)</f>
        <v/>
      </c>
      <c r="K45" s="384" t="str">
        <f>IF(B45="","",C45*Product!$D$40/100)</f>
        <v/>
      </c>
      <c r="L45" s="330" t="str">
        <f>IF(B45="","",K45*'Ingoing substances_DID'!M45/'Ingoing substances_DID'!N45*1000)</f>
        <v/>
      </c>
      <c r="M45" s="332" t="str">
        <f>IF(B45="","",(IF(OR('Ingoing Substances'!O45="N",'Ingoing substances_DID'!O45="R"),"",K45)))</f>
        <v/>
      </c>
      <c r="N45" s="332" t="str">
        <f>IF(B45="","",IF(OR('Ingoing Substances'!O45="N",'Ingoing substances_DID'!Q45="Y"),"",K45))</f>
        <v/>
      </c>
      <c r="O45" s="385" t="str">
        <f>IF('Ingoing Substances'!U45="","",'Ingoing Substances'!U45*K45/100)</f>
        <v/>
      </c>
      <c r="P45" s="384" t="str">
        <f>IF(B45="","",C45*Product!$E$40/100)</f>
        <v/>
      </c>
      <c r="Q45" s="330" t="str">
        <f>IF(B45="","",P45*'Ingoing substances_DID'!M45/'Ingoing substances_DID'!N45*1000)</f>
        <v/>
      </c>
      <c r="R45" s="332" t="str">
        <f>IF(B45="","",(IF(OR('Ingoing Substances'!O45="N",'Ingoing substances_DID'!O45="R"),"",P45)))</f>
        <v/>
      </c>
      <c r="S45" s="332" t="str">
        <f>IF(B45="","",IF(OR('Ingoing Substances'!O45="N",'Ingoing substances_DID'!Q45="Y"),"",P45))</f>
        <v/>
      </c>
      <c r="T45" s="385" t="str">
        <f>IF('Ingoing Substances'!U45="","",'Ingoing Substances'!U45*P45/100)</f>
        <v/>
      </c>
    </row>
    <row r="46" spans="1:20" x14ac:dyDescent="0.15">
      <c r="A46" s="37">
        <v>35</v>
      </c>
      <c r="B46" s="328" t="str">
        <f>IF('Ingoing substances_DID'!B46="","",'Ingoing substances_DID'!B46)</f>
        <v/>
      </c>
      <c r="C46" s="329" t="str">
        <f>IF('Ingoing substances_DID'!G46="","",'Ingoing substances_DID'!G46)</f>
        <v/>
      </c>
      <c r="D46" s="331" t="str">
        <f>IF(OR('Ingoing Substances'!Q46="N",'Ingoing substances_DID'!O46="R"),"",C46)</f>
        <v/>
      </c>
      <c r="E46" s="376" t="str">
        <f>IF(OR('Ingoing Substances'!T46="N",'Ingoing substances_DID'!P46="Y"),"",C46)</f>
        <v/>
      </c>
      <c r="F46" s="384" t="str">
        <f>IF(B46="","",C46*Product!$C$40/100)</f>
        <v/>
      </c>
      <c r="G46" s="330" t="str">
        <f>IF(B46="","",F46*'Ingoing substances_DID'!M46/'Ingoing substances_DID'!N46*1000)</f>
        <v/>
      </c>
      <c r="H46" s="331" t="str">
        <f>IF(B46="","",(IF(OR('Ingoing Substances'!O46="N",'Ingoing substances_DID'!O46="R"),"",F46)))</f>
        <v/>
      </c>
      <c r="I46" s="331" t="str">
        <f>IF(B46="","",IF(OR('Ingoing Substances'!O46="N",'Ingoing substances_DID'!Q46="Y"),"",F46))</f>
        <v/>
      </c>
      <c r="J46" s="385" t="str">
        <f>IF('Ingoing Substances'!U46="","",'Ingoing Substances'!U46*F46/100)</f>
        <v/>
      </c>
      <c r="K46" s="384" t="str">
        <f>IF(B46="","",C46*Product!$D$40/100)</f>
        <v/>
      </c>
      <c r="L46" s="330" t="str">
        <f>IF(B46="","",K46*'Ingoing substances_DID'!M46/'Ingoing substances_DID'!N46*1000)</f>
        <v/>
      </c>
      <c r="M46" s="332" t="str">
        <f>IF(B46="","",(IF(OR('Ingoing Substances'!O46="N",'Ingoing substances_DID'!O46="R"),"",K46)))</f>
        <v/>
      </c>
      <c r="N46" s="332" t="str">
        <f>IF(B46="","",IF(OR('Ingoing Substances'!O46="N",'Ingoing substances_DID'!Q46="Y"),"",K46))</f>
        <v/>
      </c>
      <c r="O46" s="385" t="str">
        <f>IF('Ingoing Substances'!U46="","",'Ingoing Substances'!U46*K46/100)</f>
        <v/>
      </c>
      <c r="P46" s="384" t="str">
        <f>IF(B46="","",C46*Product!$E$40/100)</f>
        <v/>
      </c>
      <c r="Q46" s="330" t="str">
        <f>IF(B46="","",P46*'Ingoing substances_DID'!M46/'Ingoing substances_DID'!N46*1000)</f>
        <v/>
      </c>
      <c r="R46" s="332" t="str">
        <f>IF(B46="","",(IF(OR('Ingoing Substances'!O46="N",'Ingoing substances_DID'!O46="R"),"",P46)))</f>
        <v/>
      </c>
      <c r="S46" s="332" t="str">
        <f>IF(B46="","",IF(OR('Ingoing Substances'!O46="N",'Ingoing substances_DID'!Q46="Y"),"",P46))</f>
        <v/>
      </c>
      <c r="T46" s="385" t="str">
        <f>IF('Ingoing Substances'!U46="","",'Ingoing Substances'!U46*P46/100)</f>
        <v/>
      </c>
    </row>
    <row r="47" spans="1:20" x14ac:dyDescent="0.15">
      <c r="A47" s="37">
        <v>36</v>
      </c>
      <c r="B47" s="328" t="str">
        <f>IF('Ingoing substances_DID'!B47="","",'Ingoing substances_DID'!B47)</f>
        <v/>
      </c>
      <c r="C47" s="329" t="str">
        <f>IF('Ingoing substances_DID'!G47="","",'Ingoing substances_DID'!G47)</f>
        <v/>
      </c>
      <c r="D47" s="331" t="str">
        <f>IF(OR('Ingoing Substances'!Q47="N",'Ingoing substances_DID'!O47="R"),"",C47)</f>
        <v/>
      </c>
      <c r="E47" s="376" t="str">
        <f>IF(OR('Ingoing Substances'!T47="N",'Ingoing substances_DID'!P47="Y"),"",C47)</f>
        <v/>
      </c>
      <c r="F47" s="384" t="str">
        <f>IF(B47="","",C47*Product!$C$40/100)</f>
        <v/>
      </c>
      <c r="G47" s="330" t="str">
        <f>IF(B47="","",F47*'Ingoing substances_DID'!M47/'Ingoing substances_DID'!N47*1000)</f>
        <v/>
      </c>
      <c r="H47" s="331" t="str">
        <f>IF(B47="","",(IF(OR('Ingoing Substances'!O47="N",'Ingoing substances_DID'!O47="R"),"",F47)))</f>
        <v/>
      </c>
      <c r="I47" s="331" t="str">
        <f>IF(B47="","",IF(OR('Ingoing Substances'!O47="N",'Ingoing substances_DID'!Q47="Y"),"",F47))</f>
        <v/>
      </c>
      <c r="J47" s="385" t="str">
        <f>IF('Ingoing Substances'!U47="","",'Ingoing Substances'!U47*F47/100)</f>
        <v/>
      </c>
      <c r="K47" s="384" t="str">
        <f>IF(B47="","",C47*Product!$D$40/100)</f>
        <v/>
      </c>
      <c r="L47" s="330" t="str">
        <f>IF(B47="","",K47*'Ingoing substances_DID'!M47/'Ingoing substances_DID'!N47*1000)</f>
        <v/>
      </c>
      <c r="M47" s="332" t="str">
        <f>IF(B47="","",(IF(OR('Ingoing Substances'!O47="N",'Ingoing substances_DID'!O47="R"),"",K47)))</f>
        <v/>
      </c>
      <c r="N47" s="332" t="str">
        <f>IF(B47="","",IF(OR('Ingoing Substances'!O47="N",'Ingoing substances_DID'!Q47="Y"),"",K47))</f>
        <v/>
      </c>
      <c r="O47" s="385" t="str">
        <f>IF('Ingoing Substances'!U47="","",'Ingoing Substances'!U47*K47/100)</f>
        <v/>
      </c>
      <c r="P47" s="384" t="str">
        <f>IF(B47="","",C47*Product!$E$40/100)</f>
        <v/>
      </c>
      <c r="Q47" s="330" t="str">
        <f>IF(B47="","",P47*'Ingoing substances_DID'!M47/'Ingoing substances_DID'!N47*1000)</f>
        <v/>
      </c>
      <c r="R47" s="332" t="str">
        <f>IF(B47="","",(IF(OR('Ingoing Substances'!O47="N",'Ingoing substances_DID'!O47="R"),"",P47)))</f>
        <v/>
      </c>
      <c r="S47" s="332" t="str">
        <f>IF(B47="","",IF(OR('Ingoing Substances'!O47="N",'Ingoing substances_DID'!Q47="Y"),"",P47))</f>
        <v/>
      </c>
      <c r="T47" s="385" t="str">
        <f>IF('Ingoing Substances'!U47="","",'Ingoing Substances'!U47*P47/100)</f>
        <v/>
      </c>
    </row>
    <row r="48" spans="1:20" x14ac:dyDescent="0.15">
      <c r="A48" s="37">
        <v>37</v>
      </c>
      <c r="B48" s="328" t="str">
        <f>IF('Ingoing substances_DID'!B48="","",'Ingoing substances_DID'!B48)</f>
        <v/>
      </c>
      <c r="C48" s="329" t="str">
        <f>IF('Ingoing substances_DID'!G48="","",'Ingoing substances_DID'!G48)</f>
        <v/>
      </c>
      <c r="D48" s="331" t="str">
        <f>IF(OR('Ingoing Substances'!Q48="N",'Ingoing substances_DID'!O48="R"),"",C48)</f>
        <v/>
      </c>
      <c r="E48" s="376" t="str">
        <f>IF(OR('Ingoing Substances'!T48="N",'Ingoing substances_DID'!P48="Y"),"",C48)</f>
        <v/>
      </c>
      <c r="F48" s="384" t="str">
        <f>IF(B48="","",C48*Product!$C$40/100)</f>
        <v/>
      </c>
      <c r="G48" s="330" t="str">
        <f>IF(B48="","",F48*'Ingoing substances_DID'!M48/'Ingoing substances_DID'!N48*1000)</f>
        <v/>
      </c>
      <c r="H48" s="331" t="str">
        <f>IF(B48="","",(IF(OR('Ingoing Substances'!O48="N",'Ingoing substances_DID'!O48="R"),"",F48)))</f>
        <v/>
      </c>
      <c r="I48" s="331" t="str">
        <f>IF(B48="","",IF(OR('Ingoing Substances'!O48="N",'Ingoing substances_DID'!Q48="Y"),"",F48))</f>
        <v/>
      </c>
      <c r="J48" s="385" t="str">
        <f>IF('Ingoing Substances'!U48="","",'Ingoing Substances'!U48*F48/100)</f>
        <v/>
      </c>
      <c r="K48" s="384" t="str">
        <f>IF(B48="","",C48*Product!$D$40/100)</f>
        <v/>
      </c>
      <c r="L48" s="330" t="str">
        <f>IF(B48="","",K48*'Ingoing substances_DID'!M48/'Ingoing substances_DID'!N48*1000)</f>
        <v/>
      </c>
      <c r="M48" s="332" t="str">
        <f>IF(B48="","",(IF(OR('Ingoing Substances'!O48="N",'Ingoing substances_DID'!O48="R"),"",K48)))</f>
        <v/>
      </c>
      <c r="N48" s="332" t="str">
        <f>IF(B48="","",IF(OR('Ingoing Substances'!O48="N",'Ingoing substances_DID'!Q48="Y"),"",K48))</f>
        <v/>
      </c>
      <c r="O48" s="385" t="str">
        <f>IF('Ingoing Substances'!U48="","",'Ingoing Substances'!U48*K48/100)</f>
        <v/>
      </c>
      <c r="P48" s="384" t="str">
        <f>IF(B48="","",C48*Product!$E$40/100)</f>
        <v/>
      </c>
      <c r="Q48" s="330" t="str">
        <f>IF(B48="","",P48*'Ingoing substances_DID'!M48/'Ingoing substances_DID'!N48*1000)</f>
        <v/>
      </c>
      <c r="R48" s="332" t="str">
        <f>IF(B48="","",(IF(OR('Ingoing Substances'!O48="N",'Ingoing substances_DID'!O48="R"),"",P48)))</f>
        <v/>
      </c>
      <c r="S48" s="332" t="str">
        <f>IF(B48="","",IF(OR('Ingoing Substances'!O48="N",'Ingoing substances_DID'!Q48="Y"),"",P48))</f>
        <v/>
      </c>
      <c r="T48" s="385" t="str">
        <f>IF('Ingoing Substances'!U48="","",'Ingoing Substances'!U48*P48/100)</f>
        <v/>
      </c>
    </row>
    <row r="49" spans="1:20" x14ac:dyDescent="0.15">
      <c r="A49" s="37">
        <v>38</v>
      </c>
      <c r="B49" s="328" t="str">
        <f>IF('Ingoing substances_DID'!B49="","",'Ingoing substances_DID'!B49)</f>
        <v/>
      </c>
      <c r="C49" s="329" t="str">
        <f>IF('Ingoing substances_DID'!G49="","",'Ingoing substances_DID'!G49)</f>
        <v/>
      </c>
      <c r="D49" s="331" t="str">
        <f>IF(OR('Ingoing Substances'!Q49="N",'Ingoing substances_DID'!O49="R"),"",C49)</f>
        <v/>
      </c>
      <c r="E49" s="376" t="str">
        <f>IF(OR('Ingoing Substances'!T49="N",'Ingoing substances_DID'!P49="Y"),"",C49)</f>
        <v/>
      </c>
      <c r="F49" s="384" t="str">
        <f>IF(B49="","",C49*Product!$C$40/100)</f>
        <v/>
      </c>
      <c r="G49" s="330" t="str">
        <f>IF(B49="","",F49*'Ingoing substances_DID'!M49/'Ingoing substances_DID'!N49*1000)</f>
        <v/>
      </c>
      <c r="H49" s="331" t="str">
        <f>IF(B49="","",(IF(OR('Ingoing Substances'!O49="N",'Ingoing substances_DID'!O49="R"),"",F49)))</f>
        <v/>
      </c>
      <c r="I49" s="331" t="str">
        <f>IF(B49="","",IF(OR('Ingoing Substances'!O49="N",'Ingoing substances_DID'!Q49="Y"),"",F49))</f>
        <v/>
      </c>
      <c r="J49" s="385" t="str">
        <f>IF('Ingoing Substances'!U49="","",'Ingoing Substances'!U49*F49/100)</f>
        <v/>
      </c>
      <c r="K49" s="384" t="str">
        <f>IF(B49="","",C49*Product!$D$40/100)</f>
        <v/>
      </c>
      <c r="L49" s="330" t="str">
        <f>IF(B49="","",K49*'Ingoing substances_DID'!M49/'Ingoing substances_DID'!N49*1000)</f>
        <v/>
      </c>
      <c r="M49" s="332" t="str">
        <f>IF(B49="","",(IF(OR('Ingoing Substances'!O49="N",'Ingoing substances_DID'!O49="R"),"",K49)))</f>
        <v/>
      </c>
      <c r="N49" s="332" t="str">
        <f>IF(B49="","",IF(OR('Ingoing Substances'!O49="N",'Ingoing substances_DID'!Q49="Y"),"",K49))</f>
        <v/>
      </c>
      <c r="O49" s="385" t="str">
        <f>IF('Ingoing Substances'!U49="","",'Ingoing Substances'!U49*K49/100)</f>
        <v/>
      </c>
      <c r="P49" s="384" t="str">
        <f>IF(B49="","",C49*Product!$E$40/100)</f>
        <v/>
      </c>
      <c r="Q49" s="330" t="str">
        <f>IF(B49="","",P49*'Ingoing substances_DID'!M49/'Ingoing substances_DID'!N49*1000)</f>
        <v/>
      </c>
      <c r="R49" s="332" t="str">
        <f>IF(B49="","",(IF(OR('Ingoing Substances'!O49="N",'Ingoing substances_DID'!O49="R"),"",P49)))</f>
        <v/>
      </c>
      <c r="S49" s="332" t="str">
        <f>IF(B49="","",IF(OR('Ingoing Substances'!O49="N",'Ingoing substances_DID'!Q49="Y"),"",P49))</f>
        <v/>
      </c>
      <c r="T49" s="385" t="str">
        <f>IF('Ingoing Substances'!U49="","",'Ingoing Substances'!U49*P49/100)</f>
        <v/>
      </c>
    </row>
    <row r="50" spans="1:20" x14ac:dyDescent="0.15">
      <c r="A50" s="37">
        <v>39</v>
      </c>
      <c r="B50" s="328" t="str">
        <f>IF('Ingoing substances_DID'!B50="","",'Ingoing substances_DID'!B50)</f>
        <v/>
      </c>
      <c r="C50" s="329" t="str">
        <f>IF('Ingoing substances_DID'!G50="","",'Ingoing substances_DID'!G50)</f>
        <v/>
      </c>
      <c r="D50" s="331" t="str">
        <f>IF(OR('Ingoing Substances'!Q50="N",'Ingoing substances_DID'!O50="R"),"",C50)</f>
        <v/>
      </c>
      <c r="E50" s="376" t="str">
        <f>IF(OR('Ingoing Substances'!T50="N",'Ingoing substances_DID'!P50="Y"),"",C50)</f>
        <v/>
      </c>
      <c r="F50" s="384" t="str">
        <f>IF(B50="","",C50*Product!$C$40/100)</f>
        <v/>
      </c>
      <c r="G50" s="330" t="str">
        <f>IF(B50="","",F50*'Ingoing substances_DID'!M50/'Ingoing substances_DID'!N50*1000)</f>
        <v/>
      </c>
      <c r="H50" s="331" t="str">
        <f>IF(B50="","",(IF(OR('Ingoing Substances'!O50="N",'Ingoing substances_DID'!O50="R"),"",F50)))</f>
        <v/>
      </c>
      <c r="I50" s="331" t="str">
        <f>IF(B50="","",IF(OR('Ingoing Substances'!O50="N",'Ingoing substances_DID'!Q50="Y"),"",F50))</f>
        <v/>
      </c>
      <c r="J50" s="385" t="str">
        <f>IF('Ingoing Substances'!U50="","",'Ingoing Substances'!U50*F50/100)</f>
        <v/>
      </c>
      <c r="K50" s="384" t="str">
        <f>IF(B50="","",C50*Product!$D$40/100)</f>
        <v/>
      </c>
      <c r="L50" s="330" t="str">
        <f>IF(B50="","",K50*'Ingoing substances_DID'!M50/'Ingoing substances_DID'!N50*1000)</f>
        <v/>
      </c>
      <c r="M50" s="332" t="str">
        <f>IF(B50="","",(IF(OR('Ingoing Substances'!O50="N",'Ingoing substances_DID'!O50="R"),"",K50)))</f>
        <v/>
      </c>
      <c r="N50" s="332" t="str">
        <f>IF(B50="","",IF(OR('Ingoing Substances'!O50="N",'Ingoing substances_DID'!Q50="Y"),"",K50))</f>
        <v/>
      </c>
      <c r="O50" s="385" t="str">
        <f>IF('Ingoing Substances'!U50="","",'Ingoing Substances'!U50*K50/100)</f>
        <v/>
      </c>
      <c r="P50" s="384" t="str">
        <f>IF(B50="","",C50*Product!$E$40/100)</f>
        <v/>
      </c>
      <c r="Q50" s="330" t="str">
        <f>IF(B50="","",P50*'Ingoing substances_DID'!M50/'Ingoing substances_DID'!N50*1000)</f>
        <v/>
      </c>
      <c r="R50" s="332" t="str">
        <f>IF(B50="","",(IF(OR('Ingoing Substances'!O50="N",'Ingoing substances_DID'!O50="R"),"",P50)))</f>
        <v/>
      </c>
      <c r="S50" s="332" t="str">
        <f>IF(B50="","",IF(OR('Ingoing Substances'!O50="N",'Ingoing substances_DID'!Q50="Y"),"",P50))</f>
        <v/>
      </c>
      <c r="T50" s="385" t="str">
        <f>IF('Ingoing Substances'!U50="","",'Ingoing Substances'!U50*P50/100)</f>
        <v/>
      </c>
    </row>
    <row r="51" spans="1:20" x14ac:dyDescent="0.15">
      <c r="A51" s="37">
        <v>40</v>
      </c>
      <c r="B51" s="328" t="str">
        <f>IF('Ingoing substances_DID'!B51="","",'Ingoing substances_DID'!B51)</f>
        <v/>
      </c>
      <c r="C51" s="329" t="str">
        <f>IF('Ingoing substances_DID'!G51="","",'Ingoing substances_DID'!G51)</f>
        <v/>
      </c>
      <c r="D51" s="331" t="str">
        <f>IF(OR('Ingoing Substances'!Q51="N",'Ingoing substances_DID'!O51="R"),"",C51)</f>
        <v/>
      </c>
      <c r="E51" s="376" t="str">
        <f>IF(OR('Ingoing Substances'!T51="N",'Ingoing substances_DID'!P51="Y"),"",C51)</f>
        <v/>
      </c>
      <c r="F51" s="384" t="str">
        <f>IF(B51="","",C51*Product!$C$40/100)</f>
        <v/>
      </c>
      <c r="G51" s="330" t="str">
        <f>IF(B51="","",F51*'Ingoing substances_DID'!M51/'Ingoing substances_DID'!N51*1000)</f>
        <v/>
      </c>
      <c r="H51" s="331" t="str">
        <f>IF(B51="","",(IF(OR('Ingoing Substances'!O51="N",'Ingoing substances_DID'!O51="R"),"",F51)))</f>
        <v/>
      </c>
      <c r="I51" s="331" t="str">
        <f>IF(B51="","",IF(OR('Ingoing Substances'!O51="N",'Ingoing substances_DID'!Q51="Y"),"",F51))</f>
        <v/>
      </c>
      <c r="J51" s="385" t="str">
        <f>IF('Ingoing Substances'!U51="","",'Ingoing Substances'!U51*F51/100)</f>
        <v/>
      </c>
      <c r="K51" s="384" t="str">
        <f>IF(B51="","",C51*Product!$D$40/100)</f>
        <v/>
      </c>
      <c r="L51" s="330" t="str">
        <f>IF(B51="","",K51*'Ingoing substances_DID'!M51/'Ingoing substances_DID'!N51*1000)</f>
        <v/>
      </c>
      <c r="M51" s="332" t="str">
        <f>IF(B51="","",(IF(OR('Ingoing Substances'!O51="N",'Ingoing substances_DID'!O51="R"),"",K51)))</f>
        <v/>
      </c>
      <c r="N51" s="332" t="str">
        <f>IF(B51="","",IF(OR('Ingoing Substances'!O51="N",'Ingoing substances_DID'!Q51="Y"),"",K51))</f>
        <v/>
      </c>
      <c r="O51" s="385" t="str">
        <f>IF('Ingoing Substances'!U51="","",'Ingoing Substances'!U51*K51/100)</f>
        <v/>
      </c>
      <c r="P51" s="384" t="str">
        <f>IF(B51="","",C51*Product!$E$40/100)</f>
        <v/>
      </c>
      <c r="Q51" s="330" t="str">
        <f>IF(B51="","",P51*'Ingoing substances_DID'!M51/'Ingoing substances_DID'!N51*1000)</f>
        <v/>
      </c>
      <c r="R51" s="332" t="str">
        <f>IF(B51="","",(IF(OR('Ingoing Substances'!O51="N",'Ingoing substances_DID'!O51="R"),"",P51)))</f>
        <v/>
      </c>
      <c r="S51" s="332" t="str">
        <f>IF(B51="","",IF(OR('Ingoing Substances'!O51="N",'Ingoing substances_DID'!Q51="Y"),"",P51))</f>
        <v/>
      </c>
      <c r="T51" s="385" t="str">
        <f>IF('Ingoing Substances'!U51="","",'Ingoing Substances'!U51*P51/100)</f>
        <v/>
      </c>
    </row>
    <row r="52" spans="1:20" x14ac:dyDescent="0.15">
      <c r="A52" s="37">
        <v>41</v>
      </c>
      <c r="B52" s="328" t="str">
        <f>IF('Ingoing substances_DID'!B52="","",'Ingoing substances_DID'!B52)</f>
        <v/>
      </c>
      <c r="C52" s="329" t="str">
        <f>IF('Ingoing substances_DID'!G52="","",'Ingoing substances_DID'!G52)</f>
        <v/>
      </c>
      <c r="D52" s="331" t="str">
        <f>IF(OR('Ingoing Substances'!Q52="N",'Ingoing substances_DID'!O52="R"),"",C52)</f>
        <v/>
      </c>
      <c r="E52" s="376" t="str">
        <f>IF(OR('Ingoing Substances'!T52="N",'Ingoing substances_DID'!P52="Y"),"",C52)</f>
        <v/>
      </c>
      <c r="F52" s="384" t="str">
        <f>IF(B52="","",C52*Product!$C$40/100)</f>
        <v/>
      </c>
      <c r="G52" s="330" t="str">
        <f>IF(B52="","",F52*'Ingoing substances_DID'!M52/'Ingoing substances_DID'!N52*1000)</f>
        <v/>
      </c>
      <c r="H52" s="331" t="str">
        <f>IF(B52="","",(IF(OR('Ingoing Substances'!O52="N",'Ingoing substances_DID'!O52="R"),"",F52)))</f>
        <v/>
      </c>
      <c r="I52" s="331" t="str">
        <f>IF(B52="","",IF(OR('Ingoing Substances'!O52="N",'Ingoing substances_DID'!Q52="Y"),"",F52))</f>
        <v/>
      </c>
      <c r="J52" s="385" t="str">
        <f>IF('Ingoing Substances'!U52="","",'Ingoing Substances'!U52*F52/100)</f>
        <v/>
      </c>
      <c r="K52" s="384" t="str">
        <f>IF(B52="","",C52*Product!$D$40/100)</f>
        <v/>
      </c>
      <c r="L52" s="330" t="str">
        <f>IF(B52="","",K52*'Ingoing substances_DID'!M52/'Ingoing substances_DID'!N52*1000)</f>
        <v/>
      </c>
      <c r="M52" s="332" t="str">
        <f>IF(B52="","",(IF(OR('Ingoing Substances'!O52="N",'Ingoing substances_DID'!O52="R"),"",K52)))</f>
        <v/>
      </c>
      <c r="N52" s="332" t="str">
        <f>IF(B52="","",IF(OR('Ingoing Substances'!O52="N",'Ingoing substances_DID'!Q52="Y"),"",K52))</f>
        <v/>
      </c>
      <c r="O52" s="385" t="str">
        <f>IF('Ingoing Substances'!U52="","",'Ingoing Substances'!U52*K52/100)</f>
        <v/>
      </c>
      <c r="P52" s="384" t="str">
        <f>IF(B52="","",C52*Product!$E$40/100)</f>
        <v/>
      </c>
      <c r="Q52" s="330" t="str">
        <f>IF(B52="","",P52*'Ingoing substances_DID'!M52/'Ingoing substances_DID'!N52*1000)</f>
        <v/>
      </c>
      <c r="R52" s="332" t="str">
        <f>IF(B52="","",(IF(OR('Ingoing Substances'!O52="N",'Ingoing substances_DID'!O52="R"),"",P52)))</f>
        <v/>
      </c>
      <c r="S52" s="332" t="str">
        <f>IF(B52="","",IF(OR('Ingoing Substances'!O52="N",'Ingoing substances_DID'!Q52="Y"),"",P52))</f>
        <v/>
      </c>
      <c r="T52" s="385" t="str">
        <f>IF('Ingoing Substances'!U52="","",'Ingoing Substances'!U52*P52/100)</f>
        <v/>
      </c>
    </row>
    <row r="53" spans="1:20" x14ac:dyDescent="0.15">
      <c r="A53" s="37">
        <v>42</v>
      </c>
      <c r="B53" s="328" t="str">
        <f>IF('Ingoing substances_DID'!B53="","",'Ingoing substances_DID'!B53)</f>
        <v/>
      </c>
      <c r="C53" s="329" t="str">
        <f>IF('Ingoing substances_DID'!G53="","",'Ingoing substances_DID'!G53)</f>
        <v/>
      </c>
      <c r="D53" s="331" t="str">
        <f>IF(OR('Ingoing Substances'!Q53="N",'Ingoing substances_DID'!O53="R"),"",C53)</f>
        <v/>
      </c>
      <c r="E53" s="376" t="str">
        <f>IF(OR('Ingoing Substances'!T53="N",'Ingoing substances_DID'!P53="Y"),"",C53)</f>
        <v/>
      </c>
      <c r="F53" s="384" t="str">
        <f>IF(B53="","",C53*Product!$C$40/100)</f>
        <v/>
      </c>
      <c r="G53" s="330" t="str">
        <f>IF(B53="","",F53*'Ingoing substances_DID'!M53/'Ingoing substances_DID'!N53*1000)</f>
        <v/>
      </c>
      <c r="H53" s="331" t="str">
        <f>IF(B53="","",(IF(OR('Ingoing Substances'!O53="N",'Ingoing substances_DID'!O53="R"),"",F53)))</f>
        <v/>
      </c>
      <c r="I53" s="331" t="str">
        <f>IF(B53="","",IF(OR('Ingoing Substances'!O53="N",'Ingoing substances_DID'!Q53="Y"),"",F53))</f>
        <v/>
      </c>
      <c r="J53" s="385" t="str">
        <f>IF('Ingoing Substances'!U53="","",'Ingoing Substances'!U53*F53/100)</f>
        <v/>
      </c>
      <c r="K53" s="384" t="str">
        <f>IF(B53="","",C53*Product!$D$40/100)</f>
        <v/>
      </c>
      <c r="L53" s="330" t="str">
        <f>IF(B53="","",K53*'Ingoing substances_DID'!M53/'Ingoing substances_DID'!N53*1000)</f>
        <v/>
      </c>
      <c r="M53" s="332" t="str">
        <f>IF(B53="","",(IF(OR('Ingoing Substances'!O53="N",'Ingoing substances_DID'!O53="R"),"",K53)))</f>
        <v/>
      </c>
      <c r="N53" s="332" t="str">
        <f>IF(B53="","",IF(OR('Ingoing Substances'!O53="N",'Ingoing substances_DID'!Q53="Y"),"",K53))</f>
        <v/>
      </c>
      <c r="O53" s="385" t="str">
        <f>IF('Ingoing Substances'!U53="","",'Ingoing Substances'!U53*K53/100)</f>
        <v/>
      </c>
      <c r="P53" s="384" t="str">
        <f>IF(B53="","",C53*Product!$E$40/100)</f>
        <v/>
      </c>
      <c r="Q53" s="330" t="str">
        <f>IF(B53="","",P53*'Ingoing substances_DID'!M53/'Ingoing substances_DID'!N53*1000)</f>
        <v/>
      </c>
      <c r="R53" s="332" t="str">
        <f>IF(B53="","",(IF(OR('Ingoing Substances'!O53="N",'Ingoing substances_DID'!O53="R"),"",P53)))</f>
        <v/>
      </c>
      <c r="S53" s="332" t="str">
        <f>IF(B53="","",IF(OR('Ingoing Substances'!O53="N",'Ingoing substances_DID'!Q53="Y"),"",P53))</f>
        <v/>
      </c>
      <c r="T53" s="385" t="str">
        <f>IF('Ingoing Substances'!U53="","",'Ingoing Substances'!U53*P53/100)</f>
        <v/>
      </c>
    </row>
    <row r="54" spans="1:20" x14ac:dyDescent="0.15">
      <c r="A54" s="37">
        <v>43</v>
      </c>
      <c r="B54" s="328" t="str">
        <f>IF('Ingoing substances_DID'!B54="","",'Ingoing substances_DID'!B54)</f>
        <v/>
      </c>
      <c r="C54" s="329" t="str">
        <f>IF('Ingoing substances_DID'!G54="","",'Ingoing substances_DID'!G54)</f>
        <v/>
      </c>
      <c r="D54" s="331" t="str">
        <f>IF(OR('Ingoing Substances'!Q54="N",'Ingoing substances_DID'!O54="R"),"",C54)</f>
        <v/>
      </c>
      <c r="E54" s="376" t="str">
        <f>IF(OR('Ingoing Substances'!T54="N",'Ingoing substances_DID'!P54="Y"),"",C54)</f>
        <v/>
      </c>
      <c r="F54" s="384" t="str">
        <f>IF(B54="","",C54*Product!$C$40/100)</f>
        <v/>
      </c>
      <c r="G54" s="330" t="str">
        <f>IF(B54="","",F54*'Ingoing substances_DID'!M54/'Ingoing substances_DID'!N54*1000)</f>
        <v/>
      </c>
      <c r="H54" s="331" t="str">
        <f>IF(B54="","",(IF(OR('Ingoing Substances'!O54="N",'Ingoing substances_DID'!O54="R"),"",F54)))</f>
        <v/>
      </c>
      <c r="I54" s="331" t="str">
        <f>IF(B54="","",IF(OR('Ingoing Substances'!O54="N",'Ingoing substances_DID'!Q54="Y"),"",F54))</f>
        <v/>
      </c>
      <c r="J54" s="385" t="str">
        <f>IF('Ingoing Substances'!U54="","",'Ingoing Substances'!U54*F54/100)</f>
        <v/>
      </c>
      <c r="K54" s="384" t="str">
        <f>IF(B54="","",C54*Product!$D$40/100)</f>
        <v/>
      </c>
      <c r="L54" s="330" t="str">
        <f>IF(B54="","",K54*'Ingoing substances_DID'!M54/'Ingoing substances_DID'!N54*1000)</f>
        <v/>
      </c>
      <c r="M54" s="332" t="str">
        <f>IF(B54="","",(IF(OR('Ingoing Substances'!O54="N",'Ingoing substances_DID'!O54="R"),"",K54)))</f>
        <v/>
      </c>
      <c r="N54" s="332" t="str">
        <f>IF(B54="","",IF(OR('Ingoing Substances'!O54="N",'Ingoing substances_DID'!Q54="Y"),"",K54))</f>
        <v/>
      </c>
      <c r="O54" s="385" t="str">
        <f>IF('Ingoing Substances'!U54="","",'Ingoing Substances'!U54*K54/100)</f>
        <v/>
      </c>
      <c r="P54" s="384" t="str">
        <f>IF(B54="","",C54*Product!$E$40/100)</f>
        <v/>
      </c>
      <c r="Q54" s="330" t="str">
        <f>IF(B54="","",P54*'Ingoing substances_DID'!M54/'Ingoing substances_DID'!N54*1000)</f>
        <v/>
      </c>
      <c r="R54" s="332" t="str">
        <f>IF(B54="","",(IF(OR('Ingoing Substances'!O54="N",'Ingoing substances_DID'!O54="R"),"",P54)))</f>
        <v/>
      </c>
      <c r="S54" s="332" t="str">
        <f>IF(B54="","",IF(OR('Ingoing Substances'!O54="N",'Ingoing substances_DID'!Q54="Y"),"",P54))</f>
        <v/>
      </c>
      <c r="T54" s="385" t="str">
        <f>IF('Ingoing Substances'!U54="","",'Ingoing Substances'!U54*P54/100)</f>
        <v/>
      </c>
    </row>
    <row r="55" spans="1:20" x14ac:dyDescent="0.15">
      <c r="A55" s="37">
        <v>44</v>
      </c>
      <c r="B55" s="328" t="str">
        <f>IF('Ingoing substances_DID'!B55="","",'Ingoing substances_DID'!B55)</f>
        <v/>
      </c>
      <c r="C55" s="329" t="str">
        <f>IF('Ingoing substances_DID'!G55="","",'Ingoing substances_DID'!G55)</f>
        <v/>
      </c>
      <c r="D55" s="331" t="str">
        <f>IF(OR('Ingoing Substances'!Q55="N",'Ingoing substances_DID'!O55="R"),"",C55)</f>
        <v/>
      </c>
      <c r="E55" s="376" t="str">
        <f>IF(OR('Ingoing Substances'!T55="N",'Ingoing substances_DID'!P55="Y"),"",C55)</f>
        <v/>
      </c>
      <c r="F55" s="384" t="str">
        <f>IF(B55="","",C55*Product!$C$40/100)</f>
        <v/>
      </c>
      <c r="G55" s="330" t="str">
        <f>IF(B55="","",F55*'Ingoing substances_DID'!M55/'Ingoing substances_DID'!N55*1000)</f>
        <v/>
      </c>
      <c r="H55" s="331" t="str">
        <f>IF(B55="","",(IF(OR('Ingoing Substances'!O55="N",'Ingoing substances_DID'!O55="R"),"",F55)))</f>
        <v/>
      </c>
      <c r="I55" s="331" t="str">
        <f>IF(B55="","",IF(OR('Ingoing Substances'!O55="N",'Ingoing substances_DID'!Q55="Y"),"",F55))</f>
        <v/>
      </c>
      <c r="J55" s="385" t="str">
        <f>IF('Ingoing Substances'!U55="","",'Ingoing Substances'!U55*F55/100)</f>
        <v/>
      </c>
      <c r="K55" s="384" t="str">
        <f>IF(B55="","",C55*Product!$D$40/100)</f>
        <v/>
      </c>
      <c r="L55" s="330" t="str">
        <f>IF(B55="","",K55*'Ingoing substances_DID'!M55/'Ingoing substances_DID'!N55*1000)</f>
        <v/>
      </c>
      <c r="M55" s="332" t="str">
        <f>IF(B55="","",(IF(OR('Ingoing Substances'!O55="N",'Ingoing substances_DID'!O55="R"),"",K55)))</f>
        <v/>
      </c>
      <c r="N55" s="332" t="str">
        <f>IF(B55="","",IF(OR('Ingoing Substances'!O55="N",'Ingoing substances_DID'!Q55="Y"),"",K55))</f>
        <v/>
      </c>
      <c r="O55" s="385" t="str">
        <f>IF('Ingoing Substances'!U55="","",'Ingoing Substances'!U55*K55/100)</f>
        <v/>
      </c>
      <c r="P55" s="384" t="str">
        <f>IF(B55="","",C55*Product!$E$40/100)</f>
        <v/>
      </c>
      <c r="Q55" s="330" t="str">
        <f>IF(B55="","",P55*'Ingoing substances_DID'!M55/'Ingoing substances_DID'!N55*1000)</f>
        <v/>
      </c>
      <c r="R55" s="332" t="str">
        <f>IF(B55="","",(IF(OR('Ingoing Substances'!O55="N",'Ingoing substances_DID'!O55="R"),"",P55)))</f>
        <v/>
      </c>
      <c r="S55" s="332" t="str">
        <f>IF(B55="","",IF(OR('Ingoing Substances'!O55="N",'Ingoing substances_DID'!Q55="Y"),"",P55))</f>
        <v/>
      </c>
      <c r="T55" s="385" t="str">
        <f>IF('Ingoing Substances'!U55="","",'Ingoing Substances'!U55*P55/100)</f>
        <v/>
      </c>
    </row>
    <row r="56" spans="1:20" x14ac:dyDescent="0.15">
      <c r="A56" s="37">
        <v>45</v>
      </c>
      <c r="B56" s="328" t="str">
        <f>IF('Ingoing substances_DID'!B56="","",'Ingoing substances_DID'!B56)</f>
        <v/>
      </c>
      <c r="C56" s="329" t="str">
        <f>IF('Ingoing substances_DID'!G56="","",'Ingoing substances_DID'!G56)</f>
        <v/>
      </c>
      <c r="D56" s="331" t="str">
        <f>IF(OR('Ingoing Substances'!Q56="N",'Ingoing substances_DID'!O56="R"),"",C56)</f>
        <v/>
      </c>
      <c r="E56" s="376" t="str">
        <f>IF(OR('Ingoing Substances'!T56="N",'Ingoing substances_DID'!P56="Y"),"",C56)</f>
        <v/>
      </c>
      <c r="F56" s="384" t="str">
        <f>IF(B56="","",C56*Product!$C$40/100)</f>
        <v/>
      </c>
      <c r="G56" s="330" t="str">
        <f>IF(B56="","",F56*'Ingoing substances_DID'!M56/'Ingoing substances_DID'!N56*1000)</f>
        <v/>
      </c>
      <c r="H56" s="331" t="str">
        <f>IF(B56="","",(IF(OR('Ingoing Substances'!O56="N",'Ingoing substances_DID'!O56="R"),"",F56)))</f>
        <v/>
      </c>
      <c r="I56" s="331" t="str">
        <f>IF(B56="","",IF(OR('Ingoing Substances'!O56="N",'Ingoing substances_DID'!Q56="Y"),"",F56))</f>
        <v/>
      </c>
      <c r="J56" s="385" t="str">
        <f>IF('Ingoing Substances'!U56="","",'Ingoing Substances'!U56*F56/100)</f>
        <v/>
      </c>
      <c r="K56" s="384" t="str">
        <f>IF(B56="","",C56*Product!$D$40/100)</f>
        <v/>
      </c>
      <c r="L56" s="330" t="str">
        <f>IF(B56="","",K56*'Ingoing substances_DID'!M56/'Ingoing substances_DID'!N56*1000)</f>
        <v/>
      </c>
      <c r="M56" s="332" t="str">
        <f>IF(B56="","",(IF(OR('Ingoing Substances'!O56="N",'Ingoing substances_DID'!O56="R"),"",K56)))</f>
        <v/>
      </c>
      <c r="N56" s="332" t="str">
        <f>IF(B56="","",IF(OR('Ingoing Substances'!O56="N",'Ingoing substances_DID'!Q56="Y"),"",K56))</f>
        <v/>
      </c>
      <c r="O56" s="385" t="str">
        <f>IF('Ingoing Substances'!U56="","",'Ingoing Substances'!U56*K56/100)</f>
        <v/>
      </c>
      <c r="P56" s="384" t="str">
        <f>IF(B56="","",C56*Product!$E$40/100)</f>
        <v/>
      </c>
      <c r="Q56" s="330" t="str">
        <f>IF(B56="","",P56*'Ingoing substances_DID'!M56/'Ingoing substances_DID'!N56*1000)</f>
        <v/>
      </c>
      <c r="R56" s="332" t="str">
        <f>IF(B56="","",(IF(OR('Ingoing Substances'!O56="N",'Ingoing substances_DID'!O56="R"),"",P56)))</f>
        <v/>
      </c>
      <c r="S56" s="332" t="str">
        <f>IF(B56="","",IF(OR('Ingoing Substances'!O56="N",'Ingoing substances_DID'!Q56="Y"),"",P56))</f>
        <v/>
      </c>
      <c r="T56" s="385" t="str">
        <f>IF('Ingoing Substances'!U56="","",'Ingoing Substances'!U56*P56/100)</f>
        <v/>
      </c>
    </row>
    <row r="57" spans="1:20" x14ac:dyDescent="0.15">
      <c r="A57" s="37">
        <v>46</v>
      </c>
      <c r="B57" s="328" t="str">
        <f>IF('Ingoing substances_DID'!B57="","",'Ingoing substances_DID'!B57)</f>
        <v/>
      </c>
      <c r="C57" s="329" t="str">
        <f>IF('Ingoing substances_DID'!G57="","",'Ingoing substances_DID'!G57)</f>
        <v/>
      </c>
      <c r="D57" s="331" t="str">
        <f>IF(OR('Ingoing Substances'!Q57="N",'Ingoing substances_DID'!O57="R"),"",C57)</f>
        <v/>
      </c>
      <c r="E57" s="376" t="str">
        <f>IF(OR('Ingoing Substances'!T57="N",'Ingoing substances_DID'!P57="Y"),"",C57)</f>
        <v/>
      </c>
      <c r="F57" s="384" t="str">
        <f>IF(B57="","",C57*Product!$C$40/100)</f>
        <v/>
      </c>
      <c r="G57" s="330" t="str">
        <f>IF(B57="","",F57*'Ingoing substances_DID'!M57/'Ingoing substances_DID'!N57*1000)</f>
        <v/>
      </c>
      <c r="H57" s="331" t="str">
        <f>IF(B57="","",(IF(OR('Ingoing Substances'!O57="N",'Ingoing substances_DID'!O57="R"),"",F57)))</f>
        <v/>
      </c>
      <c r="I57" s="331" t="str">
        <f>IF(B57="","",IF(OR('Ingoing Substances'!O57="N",'Ingoing substances_DID'!Q57="Y"),"",F57))</f>
        <v/>
      </c>
      <c r="J57" s="385" t="str">
        <f>IF('Ingoing Substances'!U57="","",'Ingoing Substances'!U57*F57/100)</f>
        <v/>
      </c>
      <c r="K57" s="384" t="str">
        <f>IF(B57="","",C57*Product!$D$40/100)</f>
        <v/>
      </c>
      <c r="L57" s="330" t="str">
        <f>IF(B57="","",K57*'Ingoing substances_DID'!M57/'Ingoing substances_DID'!N57*1000)</f>
        <v/>
      </c>
      <c r="M57" s="332" t="str">
        <f>IF(B57="","",(IF(OR('Ingoing Substances'!O57="N",'Ingoing substances_DID'!O57="R"),"",K57)))</f>
        <v/>
      </c>
      <c r="N57" s="332" t="str">
        <f>IF(B57="","",IF(OR('Ingoing Substances'!O57="N",'Ingoing substances_DID'!Q57="Y"),"",K57))</f>
        <v/>
      </c>
      <c r="O57" s="385" t="str">
        <f>IF('Ingoing Substances'!U57="","",'Ingoing Substances'!U57*K57/100)</f>
        <v/>
      </c>
      <c r="P57" s="384" t="str">
        <f>IF(B57="","",C57*Product!$E$40/100)</f>
        <v/>
      </c>
      <c r="Q57" s="330" t="str">
        <f>IF(B57="","",P57*'Ingoing substances_DID'!M57/'Ingoing substances_DID'!N57*1000)</f>
        <v/>
      </c>
      <c r="R57" s="332" t="str">
        <f>IF(B57="","",(IF(OR('Ingoing Substances'!O57="N",'Ingoing substances_DID'!O57="R"),"",P57)))</f>
        <v/>
      </c>
      <c r="S57" s="332" t="str">
        <f>IF(B57="","",IF(OR('Ingoing Substances'!O57="N",'Ingoing substances_DID'!Q57="Y"),"",P57))</f>
        <v/>
      </c>
      <c r="T57" s="385" t="str">
        <f>IF('Ingoing Substances'!U57="","",'Ingoing Substances'!U57*P57/100)</f>
        <v/>
      </c>
    </row>
    <row r="58" spans="1:20" x14ac:dyDescent="0.15">
      <c r="A58" s="37">
        <v>47</v>
      </c>
      <c r="B58" s="328" t="str">
        <f>IF('Ingoing substances_DID'!B58="","",'Ingoing substances_DID'!B58)</f>
        <v/>
      </c>
      <c r="C58" s="329" t="str">
        <f>IF('Ingoing substances_DID'!G58="","",'Ingoing substances_DID'!G58)</f>
        <v/>
      </c>
      <c r="D58" s="331" t="str">
        <f>IF(OR('Ingoing Substances'!Q58="N",'Ingoing substances_DID'!O58="R"),"",C58)</f>
        <v/>
      </c>
      <c r="E58" s="376" t="str">
        <f>IF(OR('Ingoing Substances'!T58="N",'Ingoing substances_DID'!P58="Y"),"",C58)</f>
        <v/>
      </c>
      <c r="F58" s="384" t="str">
        <f>IF(B58="","",C58*Product!$C$40/100)</f>
        <v/>
      </c>
      <c r="G58" s="330" t="str">
        <f>IF(B58="","",F58*'Ingoing substances_DID'!M58/'Ingoing substances_DID'!N58*1000)</f>
        <v/>
      </c>
      <c r="H58" s="331" t="str">
        <f>IF(B58="","",(IF(OR('Ingoing Substances'!O58="N",'Ingoing substances_DID'!O58="R"),"",F58)))</f>
        <v/>
      </c>
      <c r="I58" s="331" t="str">
        <f>IF(B58="","",IF(OR('Ingoing Substances'!O58="N",'Ingoing substances_DID'!Q58="Y"),"",F58))</f>
        <v/>
      </c>
      <c r="J58" s="385" t="str">
        <f>IF('Ingoing Substances'!U58="","",'Ingoing Substances'!U58*F58/100)</f>
        <v/>
      </c>
      <c r="K58" s="384" t="str">
        <f>IF(B58="","",C58*Product!$D$40/100)</f>
        <v/>
      </c>
      <c r="L58" s="330" t="str">
        <f>IF(B58="","",K58*'Ingoing substances_DID'!M58/'Ingoing substances_DID'!N58*1000)</f>
        <v/>
      </c>
      <c r="M58" s="332" t="str">
        <f>IF(B58="","",(IF(OR('Ingoing Substances'!O58="N",'Ingoing substances_DID'!O58="R"),"",K58)))</f>
        <v/>
      </c>
      <c r="N58" s="332" t="str">
        <f>IF(B58="","",IF(OR('Ingoing Substances'!O58="N",'Ingoing substances_DID'!Q58="Y"),"",K58))</f>
        <v/>
      </c>
      <c r="O58" s="385" t="str">
        <f>IF('Ingoing Substances'!U58="","",'Ingoing Substances'!U58*K58/100)</f>
        <v/>
      </c>
      <c r="P58" s="384" t="str">
        <f>IF(B58="","",C58*Product!$E$40/100)</f>
        <v/>
      </c>
      <c r="Q58" s="330" t="str">
        <f>IF(B58="","",P58*'Ingoing substances_DID'!M58/'Ingoing substances_DID'!N58*1000)</f>
        <v/>
      </c>
      <c r="R58" s="332" t="str">
        <f>IF(B58="","",(IF(OR('Ingoing Substances'!O58="N",'Ingoing substances_DID'!O58="R"),"",P58)))</f>
        <v/>
      </c>
      <c r="S58" s="332" t="str">
        <f>IF(B58="","",IF(OR('Ingoing Substances'!O58="N",'Ingoing substances_DID'!Q58="Y"),"",P58))</f>
        <v/>
      </c>
      <c r="T58" s="385" t="str">
        <f>IF('Ingoing Substances'!U58="","",'Ingoing Substances'!U58*P58/100)</f>
        <v/>
      </c>
    </row>
    <row r="59" spans="1:20" x14ac:dyDescent="0.15">
      <c r="A59" s="37">
        <v>48</v>
      </c>
      <c r="B59" s="328" t="str">
        <f>IF('Ingoing substances_DID'!B59="","",'Ingoing substances_DID'!B59)</f>
        <v/>
      </c>
      <c r="C59" s="329" t="str">
        <f>IF('Ingoing substances_DID'!G59="","",'Ingoing substances_DID'!G59)</f>
        <v/>
      </c>
      <c r="D59" s="331" t="str">
        <f>IF(OR('Ingoing Substances'!Q59="N",'Ingoing substances_DID'!O59="R"),"",C59)</f>
        <v/>
      </c>
      <c r="E59" s="376" t="str">
        <f>IF(OR('Ingoing Substances'!T59="N",'Ingoing substances_DID'!P59="Y"),"",C59)</f>
        <v/>
      </c>
      <c r="F59" s="384" t="str">
        <f>IF(B59="","",C59*Product!$C$40/100)</f>
        <v/>
      </c>
      <c r="G59" s="330" t="str">
        <f>IF(B59="","",F59*'Ingoing substances_DID'!M59/'Ingoing substances_DID'!N59*1000)</f>
        <v/>
      </c>
      <c r="H59" s="331" t="str">
        <f>IF(B59="","",(IF(OR('Ingoing Substances'!O59="N",'Ingoing substances_DID'!O59="R"),"",F59)))</f>
        <v/>
      </c>
      <c r="I59" s="331" t="str">
        <f>IF(B59="","",IF(OR('Ingoing Substances'!O59="N",'Ingoing substances_DID'!Q59="Y"),"",F59))</f>
        <v/>
      </c>
      <c r="J59" s="385" t="str">
        <f>IF('Ingoing Substances'!U59="","",'Ingoing Substances'!U59*F59/100)</f>
        <v/>
      </c>
      <c r="K59" s="384" t="str">
        <f>IF(B59="","",C59*Product!$D$40/100)</f>
        <v/>
      </c>
      <c r="L59" s="330" t="str">
        <f>IF(B59="","",K59*'Ingoing substances_DID'!M59/'Ingoing substances_DID'!N59*1000)</f>
        <v/>
      </c>
      <c r="M59" s="332" t="str">
        <f>IF(B59="","",(IF(OR('Ingoing Substances'!O59="N",'Ingoing substances_DID'!O59="R"),"",K59)))</f>
        <v/>
      </c>
      <c r="N59" s="332" t="str">
        <f>IF(B59="","",IF(OR('Ingoing Substances'!O59="N",'Ingoing substances_DID'!Q59="Y"),"",K59))</f>
        <v/>
      </c>
      <c r="O59" s="385" t="str">
        <f>IF('Ingoing Substances'!U59="","",'Ingoing Substances'!U59*K59/100)</f>
        <v/>
      </c>
      <c r="P59" s="384" t="str">
        <f>IF(B59="","",C59*Product!$E$40/100)</f>
        <v/>
      </c>
      <c r="Q59" s="330" t="str">
        <f>IF(B59="","",P59*'Ingoing substances_DID'!M59/'Ingoing substances_DID'!N59*1000)</f>
        <v/>
      </c>
      <c r="R59" s="332" t="str">
        <f>IF(B59="","",(IF(OR('Ingoing Substances'!O59="N",'Ingoing substances_DID'!O59="R"),"",P59)))</f>
        <v/>
      </c>
      <c r="S59" s="332" t="str">
        <f>IF(B59="","",IF(OR('Ingoing Substances'!O59="N",'Ingoing substances_DID'!Q59="Y"),"",P59))</f>
        <v/>
      </c>
      <c r="T59" s="385" t="str">
        <f>IF('Ingoing Substances'!U59="","",'Ingoing Substances'!U59*P59/100)</f>
        <v/>
      </c>
    </row>
    <row r="60" spans="1:20" x14ac:dyDescent="0.15">
      <c r="A60" s="37">
        <v>49</v>
      </c>
      <c r="B60" s="328" t="str">
        <f>IF('Ingoing substances_DID'!B60="","",'Ingoing substances_DID'!B60)</f>
        <v/>
      </c>
      <c r="C60" s="329" t="str">
        <f>IF('Ingoing substances_DID'!G60="","",'Ingoing substances_DID'!G60)</f>
        <v/>
      </c>
      <c r="D60" s="331" t="str">
        <f>IF(OR('Ingoing Substances'!Q60="N",'Ingoing substances_DID'!O60="R"),"",C60)</f>
        <v/>
      </c>
      <c r="E60" s="376" t="str">
        <f>IF(OR('Ingoing Substances'!T60="N",'Ingoing substances_DID'!P60="Y"),"",C60)</f>
        <v/>
      </c>
      <c r="F60" s="384" t="str">
        <f>IF(B60="","",C60*Product!$C$40/100)</f>
        <v/>
      </c>
      <c r="G60" s="330" t="str">
        <f>IF(B60="","",F60*'Ingoing substances_DID'!M60/'Ingoing substances_DID'!N60*1000)</f>
        <v/>
      </c>
      <c r="H60" s="331" t="str">
        <f>IF(B60="","",(IF(OR('Ingoing Substances'!O60="N",'Ingoing substances_DID'!O60="R"),"",F60)))</f>
        <v/>
      </c>
      <c r="I60" s="331" t="str">
        <f>IF(B60="","",IF(OR('Ingoing Substances'!O60="N",'Ingoing substances_DID'!Q60="Y"),"",F60))</f>
        <v/>
      </c>
      <c r="J60" s="385" t="str">
        <f>IF('Ingoing Substances'!U60="","",'Ingoing Substances'!U60*F60/100)</f>
        <v/>
      </c>
      <c r="K60" s="384" t="str">
        <f>IF(B60="","",C60*Product!$D$40/100)</f>
        <v/>
      </c>
      <c r="L60" s="330" t="str">
        <f>IF(B60="","",K60*'Ingoing substances_DID'!M60/'Ingoing substances_DID'!N60*1000)</f>
        <v/>
      </c>
      <c r="M60" s="332" t="str">
        <f>IF(B60="","",(IF(OR('Ingoing Substances'!O60="N",'Ingoing substances_DID'!O60="R"),"",K60)))</f>
        <v/>
      </c>
      <c r="N60" s="332" t="str">
        <f>IF(B60="","",IF(OR('Ingoing Substances'!O60="N",'Ingoing substances_DID'!Q60="Y"),"",K60))</f>
        <v/>
      </c>
      <c r="O60" s="385" t="str">
        <f>IF('Ingoing Substances'!U60="","",'Ingoing Substances'!U60*K60/100)</f>
        <v/>
      </c>
      <c r="P60" s="384" t="str">
        <f>IF(B60="","",C60*Product!$E$40/100)</f>
        <v/>
      </c>
      <c r="Q60" s="330" t="str">
        <f>IF(B60="","",P60*'Ingoing substances_DID'!M60/'Ingoing substances_DID'!N60*1000)</f>
        <v/>
      </c>
      <c r="R60" s="332" t="str">
        <f>IF(B60="","",(IF(OR('Ingoing Substances'!O60="N",'Ingoing substances_DID'!O60="R"),"",P60)))</f>
        <v/>
      </c>
      <c r="S60" s="332" t="str">
        <f>IF(B60="","",IF(OR('Ingoing Substances'!O60="N",'Ingoing substances_DID'!Q60="Y"),"",P60))</f>
        <v/>
      </c>
      <c r="T60" s="385" t="str">
        <f>IF('Ingoing Substances'!U60="","",'Ingoing Substances'!U60*P60/100)</f>
        <v/>
      </c>
    </row>
    <row r="61" spans="1:20" ht="14" thickBot="1" x14ac:dyDescent="0.2">
      <c r="A61" s="37">
        <v>50</v>
      </c>
      <c r="B61" s="328" t="str">
        <f>IF('Ingoing substances_DID'!B61="","",'Ingoing substances_DID'!B61)</f>
        <v/>
      </c>
      <c r="C61" s="329" t="str">
        <f>IF('Ingoing substances_DID'!G61="","",'Ingoing substances_DID'!G61)</f>
        <v/>
      </c>
      <c r="D61" s="331" t="str">
        <f>IF(OR('Ingoing Substances'!Q61="N",'Ingoing substances_DID'!O61="R"),"",C61)</f>
        <v/>
      </c>
      <c r="E61" s="376" t="str">
        <f>IF(OR('Ingoing Substances'!T61="N",'Ingoing substances_DID'!P61="Y"),"",C61)</f>
        <v/>
      </c>
      <c r="F61" s="386" t="str">
        <f>IF(B61="","",C61*Product!$C$40/100)</f>
        <v/>
      </c>
      <c r="G61" s="387" t="str">
        <f>IF(B61="","",F61*'Ingoing substances_DID'!M61/'Ingoing substances_DID'!N61*1000)</f>
        <v/>
      </c>
      <c r="H61" s="388" t="str">
        <f>IF(B61="","",(IF(OR('Ingoing Substances'!O61="N",'Ingoing substances_DID'!O61="R"),"",F61)))</f>
        <v/>
      </c>
      <c r="I61" s="388" t="str">
        <f>IF(B61="","",IF(OR('Ingoing Substances'!O61="N",'Ingoing substances_DID'!Q61="Y"),"",F61))</f>
        <v/>
      </c>
      <c r="J61" s="389" t="str">
        <f>IF('Ingoing Substances'!U61="","",'Ingoing Substances'!U61*F61/100)</f>
        <v/>
      </c>
      <c r="K61" s="386" t="str">
        <f>IF(B61="","",C61*Product!$D$40/100)</f>
        <v/>
      </c>
      <c r="L61" s="387" t="str">
        <f>IF(B61="","",K61*'Ingoing substances_DID'!M61/'Ingoing substances_DID'!N61*1000)</f>
        <v/>
      </c>
      <c r="M61" s="391" t="str">
        <f>IF(B61="","",(IF(OR('Ingoing Substances'!O61="N",'Ingoing substances_DID'!O61="R"),"",K61)))</f>
        <v/>
      </c>
      <c r="N61" s="391" t="str">
        <f>IF(B61="","",IF(OR('Ingoing Substances'!O61="N",'Ingoing substances_DID'!Q61="Y"),"",K61))</f>
        <v/>
      </c>
      <c r="O61" s="389" t="str">
        <f>IF('Ingoing Substances'!U61="","",'Ingoing Substances'!U61*K61/100)</f>
        <v/>
      </c>
      <c r="P61" s="386" t="str">
        <f>IF(B61="","",C61*Product!$E$40/100)</f>
        <v/>
      </c>
      <c r="Q61" s="387" t="str">
        <f>IF(B61="","",P61*'Ingoing substances_DID'!M61/'Ingoing substances_DID'!N61*1000)</f>
        <v/>
      </c>
      <c r="R61" s="391" t="str">
        <f>IF(B61="","",(IF(OR('Ingoing Substances'!O61="N",'Ingoing substances_DID'!O61="R"),"",P61)))</f>
        <v/>
      </c>
      <c r="S61" s="391" t="str">
        <f>IF(B61="","",IF(OR('Ingoing Substances'!O61="N",'Ingoing substances_DID'!Q61="Y"),"",P61))</f>
        <v/>
      </c>
      <c r="T61" s="389" t="str">
        <f>IF('Ingoing Substances'!U61="","",'Ingoing Substances'!U61*P61/100)</f>
        <v/>
      </c>
    </row>
    <row r="62" spans="1:20" ht="14" x14ac:dyDescent="0.15">
      <c r="A62" s="40"/>
      <c r="B62" s="145" t="str">
        <f>'Formulation Pre-Products'!B62</f>
        <v>Sum:</v>
      </c>
      <c r="C62" s="20"/>
      <c r="D62" s="146">
        <f t="shared" ref="D62:I62" si="2">SUM(D13:D61)</f>
        <v>0</v>
      </c>
      <c r="E62" s="333">
        <f t="shared" si="2"/>
        <v>0</v>
      </c>
      <c r="F62" s="20"/>
      <c r="G62" s="377">
        <f t="shared" si="2"/>
        <v>0</v>
      </c>
      <c r="H62" s="377">
        <f t="shared" si="2"/>
        <v>0</v>
      </c>
      <c r="I62" s="377">
        <f t="shared" si="2"/>
        <v>0</v>
      </c>
      <c r="J62" s="377">
        <f t="shared" ref="J62" si="3">SUM(J13:J61)</f>
        <v>0</v>
      </c>
      <c r="K62" s="20"/>
      <c r="L62" s="377">
        <f t="shared" ref="L62:N62" si="4">SUM(L13:L61)</f>
        <v>0</v>
      </c>
      <c r="M62" s="377">
        <f t="shared" si="4"/>
        <v>0</v>
      </c>
      <c r="N62" s="377">
        <f t="shared" si="4"/>
        <v>0</v>
      </c>
      <c r="O62" s="377">
        <f t="shared" ref="O62" si="5">SUM(O13:O61)</f>
        <v>0</v>
      </c>
      <c r="P62" s="20"/>
      <c r="Q62" s="377">
        <f t="shared" ref="Q62:S62" si="6">SUM(Q13:Q61)</f>
        <v>0</v>
      </c>
      <c r="R62" s="377">
        <f t="shared" si="6"/>
        <v>0</v>
      </c>
      <c r="S62" s="377">
        <f t="shared" si="6"/>
        <v>0</v>
      </c>
      <c r="T62" s="377">
        <f t="shared" ref="T62" si="7">SUM(T13:T61)</f>
        <v>0</v>
      </c>
    </row>
    <row r="63" spans="1:20" ht="24" customHeight="1" x14ac:dyDescent="0.15">
      <c r="A63" s="23"/>
      <c r="B63" s="334" t="s">
        <v>475</v>
      </c>
      <c r="C63" s="46"/>
      <c r="D63" s="335" t="str">
        <f>IF(Product!$C$2=Languages!A3,Languages!A47,Languages!B47)</f>
        <v>=aNBO (surf.)</v>
      </c>
      <c r="E63" s="335" t="str">
        <f>IF(Product!$C$2=Languages!A3,Languages!A48,Languages!B48)</f>
        <v>=anNBO (surf. H400/H412)</v>
      </c>
      <c r="F63" s="46"/>
      <c r="G63" s="335" t="str">
        <f>"="&amp;G10</f>
        <v>=CDV chron</v>
      </c>
      <c r="H63" s="335" t="str">
        <f>IF(Product!$C$2=Languages!A3,Languages!A49,Languages!B49)</f>
        <v>=aNBO (org. subst.)</v>
      </c>
      <c r="I63" s="335" t="str">
        <f>IF(Product!$C$2=Languages!A3,Languages!A50,Languages!B50)</f>
        <v>=anNBO (org. subst.)</v>
      </c>
      <c r="J63" s="336" t="s">
        <v>809</v>
      </c>
      <c r="K63" s="46"/>
      <c r="L63" s="335" t="str">
        <f>G63</f>
        <v>=CDV chron</v>
      </c>
      <c r="M63" s="335" t="str">
        <f t="shared" ref="M63:O63" si="8">H63</f>
        <v>=aNBO (org. subst.)</v>
      </c>
      <c r="N63" s="335" t="str">
        <f t="shared" si="8"/>
        <v>=anNBO (org. subst.)</v>
      </c>
      <c r="O63" s="335" t="str">
        <f t="shared" si="8"/>
        <v>=P</v>
      </c>
      <c r="P63" s="46"/>
      <c r="Q63" s="335" t="str">
        <f>L63</f>
        <v>=CDV chron</v>
      </c>
      <c r="R63" s="335" t="str">
        <f t="shared" ref="R63:T63" si="9">M63</f>
        <v>=aNBO (org. subst.)</v>
      </c>
      <c r="S63" s="335" t="str">
        <f t="shared" si="9"/>
        <v>=anNBO (org. subst.)</v>
      </c>
      <c r="T63" s="335" t="str">
        <f t="shared" si="9"/>
        <v>=P</v>
      </c>
    </row>
    <row r="64" spans="1:20" ht="24.75" customHeight="1" x14ac:dyDescent="0.15">
      <c r="A64" s="23"/>
      <c r="B64" s="334" t="s">
        <v>475</v>
      </c>
      <c r="C64" s="337" t="str">
        <f>IF(Product!$C$2=Languages!A3,Languages!A88,Languages!B88)</f>
        <v>Limit</v>
      </c>
      <c r="D64" s="338">
        <v>0</v>
      </c>
      <c r="E64" s="338">
        <v>0</v>
      </c>
      <c r="F64" s="46"/>
      <c r="G64" s="338" t="e">
        <f>VLOOKUP(Product!$C$22,Auswahldaten!$A$113:$AN$151,29,FALSE)</f>
        <v>#N/A</v>
      </c>
      <c r="H64" s="372" t="e">
        <f>VLOOKUP(Product!$C$22,Auswahldaten!$A$113:$AN$151,30,FALSE)</f>
        <v>#N/A</v>
      </c>
      <c r="I64" s="372" t="e">
        <f>VLOOKUP(Product!$C$22,Auswahldaten!$A$113:$AN$151,31,FALSE)</f>
        <v>#N/A</v>
      </c>
      <c r="J64" s="372" t="e">
        <f>VLOOKUP(Product!$C$22,Auswahldaten!$A$113:$AN$151,32,FALSE)</f>
        <v>#N/A</v>
      </c>
      <c r="K64" s="46"/>
      <c r="L64" s="338" t="e">
        <f>VLOOKUP(Product!$C$22,Auswahldaten!$A$113:$AN$151,33,FALSE)</f>
        <v>#N/A</v>
      </c>
      <c r="M64" s="372" t="e">
        <f>VLOOKUP(Product!$C$22,Auswahldaten!$A$113:$AN$151,34,FALSE)</f>
        <v>#N/A</v>
      </c>
      <c r="N64" s="372" t="e">
        <f>VLOOKUP(Product!$C$22,Auswahldaten!$A$113:$AN$151,35,FALSE)</f>
        <v>#N/A</v>
      </c>
      <c r="O64" s="372" t="e">
        <f>VLOOKUP(Product!$C$22,Auswahldaten!$A$113:$AN$151,36,FALSE)</f>
        <v>#N/A</v>
      </c>
      <c r="P64" s="46"/>
      <c r="Q64" s="495" t="e">
        <f>VLOOKUP(Product!$C$22,Auswahldaten!$A$113:$AN$151,37,FALSE)</f>
        <v>#N/A</v>
      </c>
      <c r="R64" s="372" t="e">
        <f>VLOOKUP(Product!$C$22,Auswahldaten!$A$113:$AN$151,38,FALSE)</f>
        <v>#N/A</v>
      </c>
      <c r="S64" s="372" t="e">
        <f>VLOOKUP(Product!$C$22,Auswahldaten!$A$113:$AN$151,39,FALSE)</f>
        <v>#N/A</v>
      </c>
      <c r="T64" s="372" t="e">
        <f>VLOOKUP(Product!$C$22,Auswahldaten!$A$113:$AN$151,40,FALSE)</f>
        <v>#N/A</v>
      </c>
    </row>
    <row r="65" spans="1:20" ht="14" thickBot="1" x14ac:dyDescent="0.2">
      <c r="A65" s="23"/>
      <c r="B65" s="334" t="s">
        <v>475</v>
      </c>
      <c r="C65" s="339" t="str">
        <f>IF(Product!$C$2=Languages!A3,Languages!A89,Languages!B89)</f>
        <v>Result</v>
      </c>
      <c r="D65" s="340" t="str">
        <f>IF(D62=0,"ok","not ok")</f>
        <v>ok</v>
      </c>
      <c r="E65" s="340" t="str">
        <f>IF(E62=0,"ok","not ok")</f>
        <v>ok</v>
      </c>
      <c r="F65" s="46"/>
      <c r="G65" s="340" t="e">
        <f>IF(G62&lt;=G64,"ok","not ok")</f>
        <v>#N/A</v>
      </c>
      <c r="H65" s="341" t="e">
        <f>IF(H62&lt;=H64,"ok","not ok")</f>
        <v>#N/A</v>
      </c>
      <c r="I65" s="340" t="e">
        <f>IF(I62&lt;=I64,"ok","not ok")</f>
        <v>#N/A</v>
      </c>
      <c r="J65" s="340" t="e">
        <f>IF(J62&lt;=J64,"ok","not ok")</f>
        <v>#N/A</v>
      </c>
      <c r="K65" s="46"/>
      <c r="L65" s="340" t="e">
        <f>IF(L62&lt;=L64,"ok","not ok")</f>
        <v>#N/A</v>
      </c>
      <c r="M65" s="341" t="e">
        <f>IF(M62&lt;=M64,"ok","not ok")</f>
        <v>#N/A</v>
      </c>
      <c r="N65" s="340" t="e">
        <f>IF(N62&lt;=N64,"ok","not ok")</f>
        <v>#N/A</v>
      </c>
      <c r="O65" s="340" t="e">
        <f>IF(O62&lt;=O64,"ok","not ok")</f>
        <v>#N/A</v>
      </c>
      <c r="P65" s="46"/>
      <c r="Q65" s="340" t="e">
        <f>IF(Q62&lt;=Q64,"ok","not ok")</f>
        <v>#N/A</v>
      </c>
      <c r="R65" s="341" t="e">
        <f>IF(R62&lt;=R64,"ok","not ok")</f>
        <v>#N/A</v>
      </c>
      <c r="S65" s="340" t="e">
        <f>IF(S62&lt;=S64,"ok","not ok")</f>
        <v>#N/A</v>
      </c>
      <c r="T65" s="340" t="e">
        <f>IF(T62&lt;=T64,"ok","not ok")</f>
        <v>#N/A</v>
      </c>
    </row>
    <row r="66" spans="1:20" ht="17" thickTop="1" x14ac:dyDescent="0.2">
      <c r="A66" s="23"/>
      <c r="B66" s="46"/>
      <c r="C66" s="23"/>
      <c r="D66" s="49"/>
      <c r="E66" s="49"/>
      <c r="F66" s="49"/>
      <c r="G66" s="49"/>
      <c r="H66" s="49"/>
      <c r="I66" s="54"/>
      <c r="J66" s="18"/>
      <c r="K66" s="49"/>
      <c r="L66" s="49"/>
      <c r="M66" s="49"/>
      <c r="N66" s="54"/>
      <c r="O66" s="18"/>
      <c r="P66" s="49"/>
      <c r="Q66" s="49"/>
      <c r="R66" s="49"/>
      <c r="S66" s="54"/>
      <c r="T66" s="18"/>
    </row>
    <row r="67" spans="1:20" ht="46.5" customHeight="1" x14ac:dyDescent="0.2">
      <c r="A67" s="16"/>
      <c r="B67" s="687" t="str">
        <f>'Formulation Pre-Products'!B67</f>
        <v>remarks of the applicant</v>
      </c>
      <c r="C67" s="693"/>
      <c r="D67" s="693"/>
      <c r="E67" s="693"/>
      <c r="F67" s="693"/>
      <c r="G67" s="693"/>
      <c r="H67" s="693"/>
      <c r="I67" s="693"/>
      <c r="J67" s="692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6" x14ac:dyDescent="0.2">
      <c r="A68" s="53"/>
      <c r="B68" s="54"/>
      <c r="C68" s="53"/>
      <c r="D68" s="55"/>
      <c r="E68" s="55"/>
      <c r="F68" s="55"/>
      <c r="G68" s="55"/>
      <c r="H68" s="55"/>
      <c r="I68" s="54"/>
      <c r="J68" s="18"/>
      <c r="K68" s="55"/>
      <c r="L68" s="55"/>
      <c r="M68" s="55"/>
      <c r="N68" s="54"/>
      <c r="O68" s="18"/>
      <c r="P68" s="55"/>
      <c r="Q68" s="55"/>
      <c r="R68" s="55"/>
      <c r="S68" s="54"/>
      <c r="T68" s="18"/>
    </row>
    <row r="69" spans="1:20" ht="16" x14ac:dyDescent="0.2">
      <c r="A69" s="53"/>
      <c r="B69" s="54"/>
      <c r="C69" s="53"/>
      <c r="D69" s="55"/>
      <c r="E69" s="55"/>
      <c r="F69" s="55"/>
      <c r="G69" s="55"/>
      <c r="H69" s="55"/>
      <c r="I69" s="54"/>
      <c r="J69" s="18"/>
      <c r="K69" s="55"/>
      <c r="L69" s="55"/>
      <c r="M69" s="55"/>
      <c r="N69" s="54"/>
      <c r="O69" s="18"/>
      <c r="P69" s="55"/>
      <c r="Q69" s="55"/>
      <c r="R69" s="55"/>
      <c r="S69" s="54"/>
      <c r="T69" s="18"/>
    </row>
    <row r="70" spans="1:20" ht="16" x14ac:dyDescent="0.2">
      <c r="A70" s="53"/>
      <c r="B70" s="54"/>
      <c r="C70" s="53"/>
      <c r="D70" s="55"/>
      <c r="E70" s="55"/>
      <c r="F70" s="55"/>
      <c r="G70" s="55"/>
      <c r="H70" s="55"/>
      <c r="I70" s="54"/>
      <c r="J70" s="18"/>
      <c r="K70" s="55"/>
      <c r="L70" s="55"/>
      <c r="M70" s="55"/>
      <c r="N70" s="54"/>
      <c r="O70" s="18"/>
      <c r="P70" s="55"/>
      <c r="Q70" s="55"/>
      <c r="R70" s="55"/>
      <c r="S70" s="54"/>
      <c r="T70" s="18"/>
    </row>
    <row r="71" spans="1:20" ht="16" x14ac:dyDescent="0.2">
      <c r="A71" s="53"/>
      <c r="B71" s="54"/>
      <c r="C71" s="53"/>
      <c r="D71" s="55"/>
      <c r="E71" s="55"/>
      <c r="F71" s="55"/>
      <c r="G71" s="55"/>
      <c r="H71" s="55"/>
      <c r="I71" s="54"/>
      <c r="J71" s="18"/>
      <c r="K71" s="55"/>
      <c r="L71" s="55"/>
      <c r="M71" s="55"/>
      <c r="N71" s="54"/>
      <c r="O71" s="18"/>
      <c r="P71" s="55"/>
      <c r="Q71" s="55"/>
      <c r="R71" s="55"/>
      <c r="S71" s="54"/>
      <c r="T71" s="18"/>
    </row>
    <row r="72" spans="1:20" ht="16" x14ac:dyDescent="0.2">
      <c r="A72" s="53"/>
      <c r="B72" s="54"/>
      <c r="C72" s="53"/>
      <c r="D72" s="55"/>
      <c r="E72" s="55"/>
      <c r="F72" s="55"/>
      <c r="G72" s="55"/>
      <c r="H72" s="55"/>
      <c r="I72" s="54"/>
      <c r="J72" s="18"/>
      <c r="K72" s="55"/>
      <c r="L72" s="55"/>
      <c r="M72" s="55"/>
      <c r="N72" s="54"/>
      <c r="O72" s="18"/>
      <c r="P72" s="55"/>
      <c r="Q72" s="55"/>
      <c r="R72" s="55"/>
      <c r="S72" s="54"/>
      <c r="T72" s="18"/>
    </row>
    <row r="73" spans="1:20" ht="16" x14ac:dyDescent="0.2">
      <c r="A73" s="53"/>
      <c r="B73" s="54"/>
      <c r="C73" s="53"/>
      <c r="D73" s="55"/>
      <c r="E73" s="55"/>
      <c r="F73" s="55"/>
      <c r="G73" s="55"/>
      <c r="H73" s="55"/>
      <c r="I73" s="54"/>
      <c r="J73" s="18"/>
      <c r="K73" s="55"/>
      <c r="L73" s="55"/>
      <c r="M73" s="55"/>
      <c r="N73" s="54"/>
      <c r="O73" s="18"/>
      <c r="P73" s="55"/>
      <c r="Q73" s="55"/>
      <c r="R73" s="55"/>
      <c r="S73" s="54"/>
      <c r="T73" s="18"/>
    </row>
    <row r="74" spans="1:20" ht="16" x14ac:dyDescent="0.2">
      <c r="A74" s="53"/>
      <c r="B74" s="54"/>
      <c r="C74" s="53"/>
      <c r="D74" s="55"/>
      <c r="E74" s="55"/>
      <c r="F74" s="55"/>
      <c r="G74" s="55"/>
      <c r="H74" s="55"/>
      <c r="I74" s="54"/>
      <c r="J74" s="18"/>
      <c r="K74" s="55"/>
      <c r="L74" s="55"/>
      <c r="M74" s="55"/>
      <c r="N74" s="54"/>
      <c r="O74" s="18"/>
      <c r="P74" s="55"/>
      <c r="Q74" s="55"/>
      <c r="R74" s="55"/>
      <c r="S74" s="54"/>
      <c r="T74" s="18"/>
    </row>
    <row r="75" spans="1:20" ht="16" x14ac:dyDescent="0.2">
      <c r="A75" s="53"/>
      <c r="B75" s="54"/>
      <c r="C75" s="53"/>
      <c r="D75" s="55"/>
      <c r="E75" s="55"/>
      <c r="F75" s="55"/>
      <c r="G75" s="55"/>
      <c r="H75" s="55"/>
      <c r="I75" s="54"/>
      <c r="J75" s="18"/>
      <c r="K75" s="55"/>
      <c r="L75" s="55"/>
      <c r="M75" s="55"/>
      <c r="N75" s="54"/>
      <c r="O75" s="18"/>
      <c r="P75" s="55"/>
      <c r="Q75" s="55"/>
      <c r="R75" s="55"/>
      <c r="S75" s="54"/>
      <c r="T75" s="18"/>
    </row>
    <row r="76" spans="1:20" ht="16" x14ac:dyDescent="0.2">
      <c r="A76" s="53"/>
      <c r="B76" s="54"/>
      <c r="C76" s="53"/>
      <c r="D76" s="55"/>
      <c r="E76" s="55"/>
      <c r="F76" s="55"/>
      <c r="G76" s="55"/>
      <c r="H76" s="55"/>
      <c r="I76" s="54"/>
      <c r="J76" s="18"/>
      <c r="K76" s="55"/>
      <c r="L76" s="55"/>
      <c r="M76" s="55"/>
      <c r="N76" s="54"/>
      <c r="O76" s="18"/>
      <c r="P76" s="55"/>
      <c r="Q76" s="55"/>
      <c r="R76" s="55"/>
      <c r="S76" s="54"/>
      <c r="T76" s="18"/>
    </row>
    <row r="77" spans="1:20" ht="16" x14ac:dyDescent="0.2">
      <c r="A77" s="53"/>
      <c r="B77" s="54"/>
      <c r="C77" s="53"/>
      <c r="D77" s="55"/>
      <c r="E77" s="55"/>
      <c r="F77" s="55"/>
      <c r="G77" s="55"/>
      <c r="H77" s="55"/>
      <c r="I77" s="54"/>
      <c r="J77" s="18"/>
      <c r="K77" s="55"/>
      <c r="L77" s="55"/>
      <c r="M77" s="55"/>
      <c r="N77" s="54"/>
      <c r="O77" s="18"/>
      <c r="P77" s="55"/>
      <c r="Q77" s="55"/>
      <c r="R77" s="55"/>
      <c r="S77" s="54"/>
      <c r="T77" s="18"/>
    </row>
    <row r="78" spans="1:20" ht="16" x14ac:dyDescent="0.2">
      <c r="A78" s="53"/>
      <c r="B78" s="54"/>
      <c r="C78" s="53"/>
      <c r="D78" s="55"/>
      <c r="E78" s="55"/>
      <c r="F78" s="55"/>
      <c r="G78" s="55"/>
      <c r="H78" s="55"/>
      <c r="I78" s="54"/>
      <c r="J78" s="18"/>
      <c r="K78" s="55"/>
      <c r="L78" s="55"/>
      <c r="M78" s="55"/>
      <c r="N78" s="54"/>
      <c r="O78" s="18"/>
      <c r="P78" s="55"/>
      <c r="Q78" s="55"/>
      <c r="R78" s="55"/>
      <c r="S78" s="54"/>
      <c r="T78" s="18"/>
    </row>
    <row r="79" spans="1:20" ht="16" x14ac:dyDescent="0.2">
      <c r="A79" s="53"/>
      <c r="B79" s="54"/>
      <c r="C79" s="53"/>
      <c r="D79" s="55"/>
      <c r="E79" s="55"/>
      <c r="F79" s="55"/>
      <c r="G79" s="55"/>
      <c r="H79" s="55"/>
      <c r="I79" s="54"/>
      <c r="J79" s="18"/>
      <c r="K79" s="55"/>
      <c r="L79" s="55"/>
      <c r="M79" s="55"/>
      <c r="N79" s="54"/>
      <c r="O79" s="18"/>
      <c r="P79" s="55"/>
      <c r="Q79" s="55"/>
      <c r="R79" s="55"/>
      <c r="S79" s="54"/>
      <c r="T79" s="18"/>
    </row>
    <row r="80" spans="1:20" ht="16" x14ac:dyDescent="0.2">
      <c r="A80" s="53"/>
      <c r="B80" s="54"/>
      <c r="C80" s="53"/>
      <c r="D80" s="55"/>
      <c r="E80" s="55"/>
      <c r="F80" s="55"/>
      <c r="G80" s="55"/>
      <c r="H80" s="55"/>
      <c r="I80" s="54"/>
      <c r="J80" s="18"/>
      <c r="K80" s="55"/>
      <c r="L80" s="55"/>
      <c r="M80" s="55"/>
      <c r="N80" s="54"/>
      <c r="O80" s="18"/>
      <c r="P80" s="55"/>
      <c r="Q80" s="55"/>
      <c r="R80" s="55"/>
      <c r="S80" s="54"/>
      <c r="T80" s="18"/>
    </row>
    <row r="81" spans="1:20" ht="16" x14ac:dyDescent="0.2">
      <c r="A81" s="53"/>
      <c r="B81" s="54"/>
      <c r="C81" s="53"/>
      <c r="D81" s="55"/>
      <c r="E81" s="55"/>
      <c r="F81" s="55"/>
      <c r="G81" s="55"/>
      <c r="H81" s="55"/>
      <c r="I81" s="54"/>
      <c r="J81" s="18"/>
      <c r="K81" s="55"/>
      <c r="L81" s="55"/>
      <c r="M81" s="55"/>
      <c r="N81" s="54"/>
      <c r="O81" s="18"/>
      <c r="P81" s="55"/>
      <c r="Q81" s="55"/>
      <c r="R81" s="55"/>
      <c r="S81" s="54"/>
      <c r="T81" s="18"/>
    </row>
    <row r="82" spans="1:20" ht="16" x14ac:dyDescent="0.2">
      <c r="A82" s="53"/>
      <c r="B82" s="54"/>
      <c r="C82" s="53"/>
      <c r="D82" s="55"/>
      <c r="E82" s="55"/>
      <c r="F82" s="55"/>
      <c r="G82" s="55"/>
      <c r="H82" s="55"/>
      <c r="I82" s="54"/>
      <c r="J82" s="18"/>
      <c r="K82" s="55"/>
      <c r="L82" s="55"/>
      <c r="M82" s="55"/>
      <c r="N82" s="54"/>
      <c r="O82" s="18"/>
      <c r="P82" s="55"/>
      <c r="Q82" s="55"/>
      <c r="R82" s="55"/>
      <c r="S82" s="54"/>
      <c r="T82" s="18"/>
    </row>
    <row r="83" spans="1:20" ht="16" x14ac:dyDescent="0.2">
      <c r="A83" s="53"/>
      <c r="B83" s="54"/>
      <c r="C83" s="53"/>
      <c r="D83" s="55"/>
      <c r="E83" s="55"/>
      <c r="F83" s="55"/>
      <c r="G83" s="55"/>
      <c r="H83" s="55"/>
      <c r="I83" s="54"/>
      <c r="J83" s="18"/>
      <c r="K83" s="55"/>
      <c r="L83" s="55"/>
      <c r="M83" s="55"/>
      <c r="N83" s="54"/>
      <c r="O83" s="18"/>
      <c r="P83" s="55"/>
      <c r="Q83" s="55"/>
      <c r="R83" s="55"/>
      <c r="S83" s="54"/>
      <c r="T83" s="18"/>
    </row>
    <row r="84" spans="1:20" ht="16" x14ac:dyDescent="0.2">
      <c r="A84" s="53"/>
      <c r="B84" s="54"/>
      <c r="C84" s="53"/>
      <c r="D84" s="55"/>
      <c r="E84" s="55"/>
      <c r="F84" s="55"/>
      <c r="G84" s="55"/>
      <c r="H84" s="55"/>
      <c r="I84" s="54"/>
      <c r="J84" s="18"/>
      <c r="K84" s="55"/>
      <c r="L84" s="55"/>
      <c r="M84" s="55"/>
      <c r="N84" s="54"/>
      <c r="O84" s="18"/>
      <c r="P84" s="55"/>
      <c r="Q84" s="55"/>
      <c r="R84" s="55"/>
      <c r="S84" s="54"/>
      <c r="T84" s="18"/>
    </row>
    <row r="85" spans="1:20" ht="16" x14ac:dyDescent="0.2">
      <c r="A85" s="53"/>
      <c r="B85" s="54"/>
      <c r="C85" s="53"/>
      <c r="D85" s="55"/>
      <c r="E85" s="55"/>
      <c r="F85" s="55"/>
      <c r="G85" s="55"/>
      <c r="H85" s="55"/>
      <c r="I85" s="54"/>
      <c r="J85" s="18"/>
      <c r="K85" s="55"/>
      <c r="L85" s="55"/>
      <c r="M85" s="55"/>
      <c r="N85" s="54"/>
      <c r="O85" s="18"/>
      <c r="P85" s="55"/>
      <c r="Q85" s="55"/>
      <c r="R85" s="55"/>
      <c r="S85" s="54"/>
      <c r="T85" s="18"/>
    </row>
    <row r="86" spans="1:20" ht="16" x14ac:dyDescent="0.2">
      <c r="A86" s="53"/>
      <c r="B86" s="54"/>
      <c r="C86" s="53"/>
      <c r="D86" s="55"/>
      <c r="E86" s="55"/>
      <c r="F86" s="55"/>
      <c r="G86" s="55"/>
      <c r="H86" s="55"/>
      <c r="I86" s="54"/>
      <c r="J86" s="18"/>
      <c r="K86" s="55"/>
      <c r="L86" s="55"/>
      <c r="M86" s="55"/>
      <c r="N86" s="54"/>
      <c r="O86" s="18"/>
      <c r="P86" s="55"/>
      <c r="Q86" s="55"/>
      <c r="R86" s="55"/>
      <c r="S86" s="54"/>
      <c r="T86" s="18"/>
    </row>
    <row r="87" spans="1:20" ht="16" x14ac:dyDescent="0.2">
      <c r="A87" s="53"/>
      <c r="B87" s="54"/>
      <c r="C87" s="53"/>
      <c r="D87" s="55"/>
      <c r="E87" s="55"/>
      <c r="F87" s="55"/>
      <c r="G87" s="55"/>
      <c r="H87" s="55"/>
      <c r="I87" s="54"/>
      <c r="J87" s="18"/>
      <c r="K87" s="55"/>
      <c r="L87" s="55"/>
      <c r="M87" s="55"/>
      <c r="N87" s="54"/>
      <c r="O87" s="18"/>
      <c r="P87" s="55"/>
      <c r="Q87" s="55"/>
      <c r="R87" s="55"/>
      <c r="S87" s="54"/>
      <c r="T87" s="18"/>
    </row>
    <row r="88" spans="1:20" ht="16" x14ac:dyDescent="0.2">
      <c r="A88" s="53"/>
      <c r="B88" s="54"/>
      <c r="C88" s="53"/>
      <c r="D88" s="55"/>
      <c r="E88" s="55"/>
      <c r="F88" s="55"/>
      <c r="G88" s="55"/>
      <c r="H88" s="55"/>
      <c r="I88" s="54"/>
      <c r="J88" s="18"/>
      <c r="K88" s="55"/>
      <c r="L88" s="55"/>
      <c r="M88" s="55"/>
      <c r="N88" s="54"/>
      <c r="O88" s="18"/>
      <c r="P88" s="55"/>
      <c r="Q88" s="55"/>
      <c r="R88" s="55"/>
      <c r="S88" s="54"/>
      <c r="T88" s="18"/>
    </row>
    <row r="89" spans="1:20" ht="16" x14ac:dyDescent="0.2">
      <c r="A89" s="53"/>
      <c r="B89" s="54"/>
      <c r="C89" s="53"/>
      <c r="D89" s="55"/>
      <c r="E89" s="55"/>
      <c r="F89" s="55"/>
      <c r="G89" s="55"/>
      <c r="H89" s="55"/>
      <c r="I89" s="54"/>
      <c r="J89" s="18"/>
      <c r="K89" s="55"/>
      <c r="L89" s="55"/>
      <c r="M89" s="55"/>
      <c r="N89" s="54"/>
      <c r="O89" s="18"/>
      <c r="P89" s="55"/>
      <c r="Q89" s="55"/>
      <c r="R89" s="55"/>
      <c r="S89" s="54"/>
      <c r="T89" s="18"/>
    </row>
    <row r="90" spans="1:20" ht="16" x14ac:dyDescent="0.2">
      <c r="J90" s="18"/>
      <c r="O90" s="18"/>
      <c r="T90" s="18"/>
    </row>
    <row r="91" spans="1:20" ht="16" x14ac:dyDescent="0.2">
      <c r="J91" s="18"/>
      <c r="O91" s="18"/>
      <c r="T91" s="18"/>
    </row>
    <row r="92" spans="1:20" ht="16" x14ac:dyDescent="0.2">
      <c r="J92" s="18"/>
      <c r="O92" s="18"/>
      <c r="T92" s="18"/>
    </row>
    <row r="93" spans="1:20" ht="16" x14ac:dyDescent="0.2">
      <c r="J93" s="18"/>
      <c r="O93" s="18"/>
      <c r="T93" s="18"/>
    </row>
    <row r="94" spans="1:20" ht="16" x14ac:dyDescent="0.2">
      <c r="J94" s="18"/>
      <c r="O94" s="18"/>
      <c r="T94" s="18"/>
    </row>
    <row r="95" spans="1:20" ht="16" x14ac:dyDescent="0.2">
      <c r="J95" s="18"/>
      <c r="O95" s="18"/>
      <c r="T95" s="18"/>
    </row>
    <row r="96" spans="1:20" ht="16" x14ac:dyDescent="0.2">
      <c r="J96" s="18"/>
      <c r="O96" s="18"/>
      <c r="T96" s="18"/>
    </row>
    <row r="97" spans="10:20" ht="16" x14ac:dyDescent="0.2">
      <c r="J97" s="18"/>
      <c r="O97" s="18"/>
      <c r="T97" s="18"/>
    </row>
    <row r="98" spans="10:20" ht="16" x14ac:dyDescent="0.2">
      <c r="J98" s="18"/>
      <c r="O98" s="18"/>
      <c r="T98" s="18"/>
    </row>
    <row r="99" spans="10:20" ht="16" x14ac:dyDescent="0.2">
      <c r="J99" s="18"/>
      <c r="O99" s="18"/>
      <c r="T99" s="18"/>
    </row>
    <row r="100" spans="10:20" ht="16" x14ac:dyDescent="0.2">
      <c r="J100" s="18"/>
      <c r="O100" s="18"/>
      <c r="T100" s="18"/>
    </row>
    <row r="101" spans="10:20" ht="16" x14ac:dyDescent="0.2">
      <c r="J101" s="18"/>
      <c r="O101" s="18"/>
      <c r="T101" s="18"/>
    </row>
    <row r="102" spans="10:20" ht="16" x14ac:dyDescent="0.2">
      <c r="J102" s="18"/>
      <c r="O102" s="18"/>
      <c r="T102" s="18"/>
    </row>
    <row r="103" spans="10:20" ht="16" x14ac:dyDescent="0.2">
      <c r="J103" s="18"/>
      <c r="O103" s="18"/>
      <c r="T103" s="18"/>
    </row>
    <row r="104" spans="10:20" ht="16" x14ac:dyDescent="0.2">
      <c r="J104" s="18"/>
      <c r="O104" s="18"/>
      <c r="T104" s="18"/>
    </row>
    <row r="105" spans="10:20" ht="16" x14ac:dyDescent="0.2">
      <c r="J105" s="18"/>
      <c r="O105" s="18"/>
      <c r="T105" s="18"/>
    </row>
    <row r="106" spans="10:20" ht="16" x14ac:dyDescent="0.2">
      <c r="J106" s="18"/>
      <c r="O106" s="18"/>
      <c r="T106" s="18"/>
    </row>
    <row r="107" spans="10:20" ht="16" x14ac:dyDescent="0.2">
      <c r="J107" s="18"/>
      <c r="O107" s="18"/>
      <c r="T107" s="18"/>
    </row>
    <row r="108" spans="10:20" ht="16" x14ac:dyDescent="0.2">
      <c r="J108" s="18"/>
      <c r="O108" s="18"/>
      <c r="T108" s="18"/>
    </row>
    <row r="109" spans="10:20" ht="16" x14ac:dyDescent="0.2">
      <c r="J109" s="18"/>
      <c r="O109" s="18"/>
      <c r="T109" s="18"/>
    </row>
    <row r="110" spans="10:20" ht="16" x14ac:dyDescent="0.2">
      <c r="J110" s="18"/>
      <c r="O110" s="18"/>
      <c r="T110" s="18"/>
    </row>
    <row r="111" spans="10:20" ht="16" x14ac:dyDescent="0.2">
      <c r="J111" s="18"/>
      <c r="O111" s="18"/>
      <c r="T111" s="18"/>
    </row>
    <row r="112" spans="10:20" ht="16" x14ac:dyDescent="0.2">
      <c r="J112" s="18"/>
      <c r="O112" s="18"/>
      <c r="T112" s="18"/>
    </row>
    <row r="113" spans="10:20" ht="16" x14ac:dyDescent="0.2">
      <c r="J113" s="18"/>
      <c r="O113" s="18"/>
      <c r="T113" s="18"/>
    </row>
    <row r="114" spans="10:20" ht="16" x14ac:dyDescent="0.2">
      <c r="J114" s="18"/>
      <c r="O114" s="18"/>
      <c r="T114" s="18"/>
    </row>
    <row r="115" spans="10:20" ht="16" x14ac:dyDescent="0.2">
      <c r="J115" s="18"/>
      <c r="O115" s="18"/>
      <c r="T115" s="18"/>
    </row>
    <row r="116" spans="10:20" ht="16" x14ac:dyDescent="0.2">
      <c r="J116" s="18"/>
      <c r="O116" s="18"/>
      <c r="T116" s="18"/>
    </row>
    <row r="117" spans="10:20" ht="16" x14ac:dyDescent="0.2">
      <c r="J117" s="18"/>
      <c r="O117" s="18"/>
      <c r="T117" s="18"/>
    </row>
    <row r="118" spans="10:20" ht="16" x14ac:dyDescent="0.2">
      <c r="J118" s="18"/>
      <c r="O118" s="18"/>
      <c r="T118" s="18"/>
    </row>
    <row r="119" spans="10:20" ht="16" x14ac:dyDescent="0.2">
      <c r="J119" s="18"/>
      <c r="O119" s="18"/>
      <c r="T119" s="18"/>
    </row>
    <row r="120" spans="10:20" ht="16" x14ac:dyDescent="0.2">
      <c r="J120" s="18"/>
      <c r="O120" s="18"/>
      <c r="T120" s="18"/>
    </row>
    <row r="121" spans="10:20" ht="16" x14ac:dyDescent="0.2">
      <c r="J121" s="18"/>
      <c r="O121" s="18"/>
      <c r="T121" s="18"/>
    </row>
    <row r="122" spans="10:20" ht="16" x14ac:dyDescent="0.2">
      <c r="J122" s="18"/>
      <c r="O122" s="18"/>
      <c r="T122" s="18"/>
    </row>
    <row r="123" spans="10:20" ht="16" x14ac:dyDescent="0.2">
      <c r="J123" s="18"/>
      <c r="O123" s="18"/>
      <c r="T123" s="18"/>
    </row>
    <row r="124" spans="10:20" ht="16" x14ac:dyDescent="0.2">
      <c r="J124" s="18"/>
      <c r="O124" s="18"/>
      <c r="T124" s="18"/>
    </row>
    <row r="125" spans="10:20" ht="16" x14ac:dyDescent="0.2">
      <c r="J125" s="18"/>
      <c r="O125" s="18"/>
      <c r="T125" s="18"/>
    </row>
    <row r="126" spans="10:20" ht="16" x14ac:dyDescent="0.2">
      <c r="J126" s="18"/>
      <c r="O126" s="18"/>
      <c r="T126" s="18"/>
    </row>
    <row r="127" spans="10:20" ht="16" x14ac:dyDescent="0.2">
      <c r="J127" s="18"/>
      <c r="O127" s="18"/>
      <c r="T127" s="18"/>
    </row>
    <row r="128" spans="10:20" ht="16" x14ac:dyDescent="0.2">
      <c r="J128" s="18"/>
      <c r="O128" s="18"/>
      <c r="T128" s="18"/>
    </row>
    <row r="129" spans="10:20" ht="16" x14ac:dyDescent="0.2">
      <c r="J129" s="18"/>
      <c r="O129" s="18"/>
      <c r="T129" s="18"/>
    </row>
    <row r="130" spans="10:20" ht="16" x14ac:dyDescent="0.2">
      <c r="J130" s="18"/>
      <c r="O130" s="18"/>
      <c r="T130" s="18"/>
    </row>
    <row r="131" spans="10:20" ht="16" x14ac:dyDescent="0.2">
      <c r="J131" s="18"/>
      <c r="O131" s="18"/>
      <c r="T131" s="18"/>
    </row>
    <row r="132" spans="10:20" ht="16" x14ac:dyDescent="0.2">
      <c r="J132" s="18"/>
      <c r="O132" s="18"/>
      <c r="T132" s="18"/>
    </row>
    <row r="133" spans="10:20" ht="16" x14ac:dyDescent="0.2">
      <c r="J133" s="18"/>
      <c r="O133" s="18"/>
      <c r="T133" s="18"/>
    </row>
    <row r="134" spans="10:20" ht="16" x14ac:dyDescent="0.2">
      <c r="J134" s="18"/>
      <c r="O134" s="18"/>
      <c r="T134" s="18"/>
    </row>
    <row r="135" spans="10:20" ht="16" x14ac:dyDescent="0.2">
      <c r="J135" s="18"/>
      <c r="O135" s="18"/>
      <c r="T135" s="18"/>
    </row>
    <row r="136" spans="10:20" ht="16" x14ac:dyDescent="0.2">
      <c r="J136" s="18"/>
      <c r="O136" s="18"/>
      <c r="T136" s="18"/>
    </row>
    <row r="137" spans="10:20" ht="16" x14ac:dyDescent="0.2">
      <c r="J137" s="18"/>
      <c r="O137" s="18"/>
      <c r="T137" s="18"/>
    </row>
    <row r="138" spans="10:20" ht="16" x14ac:dyDescent="0.2">
      <c r="J138" s="18"/>
      <c r="O138" s="18"/>
      <c r="T138" s="18"/>
    </row>
    <row r="139" spans="10:20" ht="16" x14ac:dyDescent="0.2">
      <c r="J139" s="18"/>
      <c r="O139" s="18"/>
      <c r="T139" s="18"/>
    </row>
    <row r="140" spans="10:20" ht="16" x14ac:dyDescent="0.2">
      <c r="J140" s="18"/>
      <c r="O140" s="18"/>
      <c r="T140" s="18"/>
    </row>
    <row r="141" spans="10:20" ht="16" x14ac:dyDescent="0.2">
      <c r="J141" s="18"/>
      <c r="O141" s="18"/>
      <c r="T141" s="18"/>
    </row>
    <row r="142" spans="10:20" ht="16" x14ac:dyDescent="0.2">
      <c r="J142" s="18"/>
      <c r="O142" s="18"/>
      <c r="T142" s="18"/>
    </row>
    <row r="143" spans="10:20" ht="16" x14ac:dyDescent="0.2">
      <c r="J143" s="18"/>
      <c r="O143" s="18"/>
      <c r="T143" s="18"/>
    </row>
    <row r="144" spans="10:20" ht="16" x14ac:dyDescent="0.2">
      <c r="J144" s="18"/>
      <c r="O144" s="18"/>
      <c r="T144" s="18"/>
    </row>
    <row r="145" spans="10:20" ht="16" x14ac:dyDescent="0.2">
      <c r="J145" s="18"/>
      <c r="O145" s="18"/>
      <c r="T145" s="18"/>
    </row>
    <row r="146" spans="10:20" ht="16" x14ac:dyDescent="0.2">
      <c r="J146" s="18"/>
      <c r="O146" s="18"/>
      <c r="T146" s="18"/>
    </row>
    <row r="147" spans="10:20" ht="16" x14ac:dyDescent="0.2">
      <c r="J147" s="18"/>
      <c r="O147" s="18"/>
      <c r="T147" s="18"/>
    </row>
    <row r="148" spans="10:20" ht="16" x14ac:dyDescent="0.2">
      <c r="J148" s="18"/>
      <c r="O148" s="18"/>
      <c r="T148" s="18"/>
    </row>
    <row r="149" spans="10:20" ht="16" x14ac:dyDescent="0.2">
      <c r="J149" s="18"/>
      <c r="O149" s="18"/>
      <c r="T149" s="18"/>
    </row>
  </sheetData>
  <sheetProtection password="CC13" sheet="1" objects="1" scenarios="1" formatCells="0" formatColumns="0" formatRows="0" selectLockedCells="1" autoFilter="0"/>
  <autoFilter ref="B10:B65" xr:uid="{00000000-0009-0000-0000-000006000000}"/>
  <mergeCells count="16">
    <mergeCell ref="F9:J9"/>
    <mergeCell ref="K9:O9"/>
    <mergeCell ref="P9:T9"/>
    <mergeCell ref="B67:J67"/>
    <mergeCell ref="A6:B6"/>
    <mergeCell ref="C6:F6"/>
    <mergeCell ref="A7:B7"/>
    <mergeCell ref="C7:F7"/>
    <mergeCell ref="A8:B8"/>
    <mergeCell ref="C8:F8"/>
    <mergeCell ref="G1:J1"/>
    <mergeCell ref="D1:F1"/>
    <mergeCell ref="A4:B4"/>
    <mergeCell ref="C4:F4"/>
    <mergeCell ref="A5:B5"/>
    <mergeCell ref="C5:F5"/>
  </mergeCells>
  <conditionalFormatting sqref="H65:I65 D65:E65">
    <cfRule type="beginsWith" dxfId="172" priority="17" operator="beginsWith" text="not">
      <formula>LEFT(D65,LEN("not"))="not"</formula>
    </cfRule>
    <cfRule type="beginsWith" dxfId="171" priority="18" operator="beginsWith" text="ok">
      <formula>LEFT(D65,LEN("ok"))="ok"</formula>
    </cfRule>
  </conditionalFormatting>
  <conditionalFormatting sqref="J65">
    <cfRule type="beginsWith" dxfId="170" priority="15" operator="beginsWith" text="not">
      <formula>LEFT(J65,LEN("not"))="not"</formula>
    </cfRule>
    <cfRule type="beginsWith" dxfId="169" priority="16" operator="beginsWith" text="ok">
      <formula>LEFT(J65,LEN("ok"))="ok"</formula>
    </cfRule>
  </conditionalFormatting>
  <conditionalFormatting sqref="G65">
    <cfRule type="beginsWith" dxfId="168" priority="13" operator="beginsWith" text="not">
      <formula>LEFT(G65,LEN("not"))="not"</formula>
    </cfRule>
    <cfRule type="beginsWith" dxfId="167" priority="14" operator="beginsWith" text="ok">
      <formula>LEFT(G65,LEN("ok"))="ok"</formula>
    </cfRule>
  </conditionalFormatting>
  <conditionalFormatting sqref="M65:N65">
    <cfRule type="beginsWith" dxfId="166" priority="11" operator="beginsWith" text="not">
      <formula>LEFT(M65,LEN("not"))="not"</formula>
    </cfRule>
    <cfRule type="beginsWith" dxfId="165" priority="12" operator="beginsWith" text="ok">
      <formula>LEFT(M65,LEN("ok"))="ok"</formula>
    </cfRule>
  </conditionalFormatting>
  <conditionalFormatting sqref="O65">
    <cfRule type="beginsWith" dxfId="164" priority="9" operator="beginsWith" text="not">
      <formula>LEFT(O65,LEN("not"))="not"</formula>
    </cfRule>
    <cfRule type="beginsWith" dxfId="163" priority="10" operator="beginsWith" text="ok">
      <formula>LEFT(O65,LEN("ok"))="ok"</formula>
    </cfRule>
  </conditionalFormatting>
  <conditionalFormatting sqref="L65">
    <cfRule type="beginsWith" dxfId="162" priority="7" operator="beginsWith" text="not">
      <formula>LEFT(L65,LEN("not"))="not"</formula>
    </cfRule>
    <cfRule type="beginsWith" dxfId="161" priority="8" operator="beginsWith" text="ok">
      <formula>LEFT(L65,LEN("ok"))="ok"</formula>
    </cfRule>
  </conditionalFormatting>
  <conditionalFormatting sqref="R65:S65">
    <cfRule type="beginsWith" dxfId="160" priority="5" operator="beginsWith" text="not">
      <formula>LEFT(R65,LEN("not"))="not"</formula>
    </cfRule>
    <cfRule type="beginsWith" dxfId="159" priority="6" operator="beginsWith" text="ok">
      <formula>LEFT(R65,LEN("ok"))="ok"</formula>
    </cfRule>
  </conditionalFormatting>
  <conditionalFormatting sqref="T65">
    <cfRule type="beginsWith" dxfId="158" priority="3" operator="beginsWith" text="not">
      <formula>LEFT(T65,LEN("not"))="not"</formula>
    </cfRule>
    <cfRule type="beginsWith" dxfId="157" priority="4" operator="beginsWith" text="ok">
      <formula>LEFT(T65,LEN("ok"))="ok"</formula>
    </cfRule>
  </conditionalFormatting>
  <conditionalFormatting sqref="Q65">
    <cfRule type="beginsWith" dxfId="156" priority="1" operator="beginsWith" text="not">
      <formula>LEFT(Q65,LEN("not"))="not"</formula>
    </cfRule>
    <cfRule type="beginsWith" dxfId="155" priority="2" operator="beginsWith" text="ok">
      <formula>LEFT(Q65,LEN("ok"))="ok"</formula>
    </cfRule>
  </conditionalFormatting>
  <dataValidations count="1">
    <dataValidation allowBlank="1" showInputMessage="1" showErrorMessage="1" errorTitle="Please select" sqref="R1:T1 M1:O1 G1" xr:uid="{00000000-0002-0000-0600-000000000000}"/>
  </dataValidations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60"/>
  <sheetViews>
    <sheetView zoomScale="97" zoomScaleNormal="97" workbookViewId="0">
      <selection activeCell="C6" sqref="C6:F6"/>
    </sheetView>
  </sheetViews>
  <sheetFormatPr baseColWidth="10" defaultColWidth="11.5" defaultRowHeight="13" x14ac:dyDescent="0.15"/>
  <cols>
    <col min="1" max="1" width="4.1640625" style="1" customWidth="1"/>
    <col min="2" max="2" width="35.33203125" customWidth="1"/>
    <col min="3" max="3" width="9.6640625" style="1" customWidth="1"/>
    <col min="4" max="4" width="11.83203125" customWidth="1"/>
    <col min="5" max="5" width="11.6640625" customWidth="1"/>
    <col min="6" max="6" width="11.83203125" customWidth="1"/>
    <col min="7" max="7" width="9.6640625" customWidth="1"/>
    <col min="8" max="8" width="11.6640625" customWidth="1"/>
    <col min="9" max="10" width="11.83203125" customWidth="1"/>
    <col min="11" max="11" width="9.6640625" customWidth="1"/>
    <col min="12" max="12" width="11.6640625" style="111" customWidth="1"/>
    <col min="13" max="13" width="11.6640625" style="2" customWidth="1"/>
    <col min="14" max="14" width="11.83203125" style="2" customWidth="1"/>
    <col min="15" max="15" width="8.6640625" style="2" customWidth="1"/>
    <col min="16" max="17" width="9.83203125" customWidth="1"/>
    <col min="18" max="18" width="8.5" hidden="1" customWidth="1"/>
    <col min="20" max="20" width="11.5" customWidth="1"/>
  </cols>
  <sheetData>
    <row r="1" spans="1:25" ht="18.75" customHeight="1" x14ac:dyDescent="0.2">
      <c r="A1" s="16"/>
      <c r="B1" s="103"/>
      <c r="C1" s="17"/>
      <c r="D1" s="16"/>
      <c r="E1" s="18"/>
      <c r="F1" s="9"/>
      <c r="G1" s="665" t="str">
        <f>Product!G1</f>
        <v>COMMISSION DECISION</v>
      </c>
      <c r="H1" s="706"/>
      <c r="I1" s="706"/>
      <c r="J1" s="684">
        <f>Product!I1</f>
        <v>0</v>
      </c>
      <c r="K1" s="695"/>
      <c r="L1" s="695"/>
      <c r="M1" s="695"/>
      <c r="N1" s="695"/>
      <c r="O1" s="685"/>
      <c r="P1" s="56"/>
      <c r="Q1" s="56"/>
      <c r="R1" s="54"/>
      <c r="S1" s="54"/>
      <c r="T1" s="54"/>
      <c r="U1" s="54"/>
    </row>
    <row r="2" spans="1:25" x14ac:dyDescent="0.15">
      <c r="A2" s="23"/>
      <c r="B2" s="46"/>
      <c r="C2" s="46"/>
      <c r="D2" s="23"/>
      <c r="E2" s="46"/>
      <c r="F2" s="54"/>
      <c r="G2" s="108"/>
      <c r="H2" s="46"/>
      <c r="I2" s="46"/>
      <c r="J2" s="294" t="str">
        <f>Product!I2</f>
        <v>Template March 2020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5" x14ac:dyDescent="0.15">
      <c r="A3" s="670" t="str">
        <f>Product!A4</f>
        <v>Contract number:</v>
      </c>
      <c r="B3" s="671"/>
      <c r="C3" s="705">
        <f>Product!C4</f>
        <v>0</v>
      </c>
      <c r="D3" s="705"/>
      <c r="E3" s="705"/>
      <c r="F3" s="705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5" ht="16" x14ac:dyDescent="0.2">
      <c r="A4" s="670" t="str">
        <f>Product!A5</f>
        <v>Licence Holder:</v>
      </c>
      <c r="B4" s="671"/>
      <c r="C4" s="705">
        <f>Product!C5</f>
        <v>0</v>
      </c>
      <c r="D4" s="705"/>
      <c r="E4" s="705"/>
      <c r="F4" s="705"/>
      <c r="G4" s="19"/>
      <c r="H4" s="348" t="str">
        <f>Product!H4</f>
        <v>Date:</v>
      </c>
      <c r="I4" s="701">
        <f>Product!I4</f>
        <v>0</v>
      </c>
      <c r="J4" s="702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5" ht="16" x14ac:dyDescent="0.2">
      <c r="A5" s="670" t="str">
        <f>Product!A6</f>
        <v>Distributor / Product name (Country):</v>
      </c>
      <c r="B5" s="671"/>
      <c r="C5" s="705">
        <f>Product!C6</f>
        <v>0</v>
      </c>
      <c r="D5" s="705"/>
      <c r="E5" s="705"/>
      <c r="F5" s="705"/>
      <c r="G5" s="19"/>
      <c r="H5" s="348" t="str">
        <f>Product!H5</f>
        <v>Version:</v>
      </c>
      <c r="I5" s="703">
        <f>Product!I5</f>
        <v>0</v>
      </c>
      <c r="J5" s="704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5" ht="16" x14ac:dyDescent="0.2">
      <c r="A6" s="670" t="str">
        <f>Product!A22</f>
        <v>Type of product:</v>
      </c>
      <c r="B6" s="671"/>
      <c r="C6" s="722"/>
      <c r="D6" s="723"/>
      <c r="E6" s="723"/>
      <c r="F6" s="724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5" ht="9.75" customHeight="1" thickBot="1" x14ac:dyDescent="0.25">
      <c r="A7" s="169"/>
      <c r="B7" s="349"/>
      <c r="C7" s="349"/>
      <c r="D7" s="349"/>
      <c r="E7" s="349"/>
      <c r="F7" s="54"/>
      <c r="G7" s="349"/>
      <c r="H7" s="349"/>
      <c r="I7" s="349"/>
      <c r="J7" s="349"/>
      <c r="K7" s="349"/>
      <c r="L7" s="139"/>
      <c r="M7" s="349"/>
      <c r="N7" s="58"/>
      <c r="O7" s="49"/>
      <c r="P7" s="349"/>
      <c r="Q7" s="349"/>
      <c r="R7" s="54"/>
      <c r="S7" s="18"/>
      <c r="T7" s="18"/>
      <c r="U7" s="18"/>
    </row>
    <row r="8" spans="1:25" s="7" customFormat="1" ht="15" customHeight="1" thickBot="1" x14ac:dyDescent="0.2">
      <c r="A8" s="392"/>
      <c r="B8" s="392"/>
      <c r="C8" s="731" t="str">
        <f>IF(Product!$C$2=Languages!A3,Languages!A330,Languages!B331)</f>
        <v>I&amp;I LD: Degree of soiling:
Heavy</v>
      </c>
      <c r="D8" s="732"/>
      <c r="E8" s="732"/>
      <c r="F8" s="732"/>
      <c r="G8" s="732"/>
      <c r="H8" s="732"/>
      <c r="I8" s="732"/>
      <c r="J8" s="732"/>
      <c r="K8" s="732"/>
      <c r="L8" s="732"/>
      <c r="M8" s="732"/>
      <c r="N8" s="73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s="7" customFormat="1" ht="33.75" customHeight="1" x14ac:dyDescent="0.15">
      <c r="A9" s="394"/>
      <c r="B9" s="435" t="s">
        <v>954</v>
      </c>
      <c r="C9" s="728" t="str">
        <f>'Results-1a-medium soiling'!F9</f>
        <v>for soft water (&lt;1,5 mmol CaCO3/l)</v>
      </c>
      <c r="D9" s="729" t="s">
        <v>947</v>
      </c>
      <c r="E9" s="729" t="s">
        <v>948</v>
      </c>
      <c r="F9" s="730">
        <v>0</v>
      </c>
      <c r="G9" s="728" t="str">
        <f>'Results-1a-medium soiling'!K9</f>
        <v>for medium water (1,5 – 2,5 mmol CaCO3/l)</v>
      </c>
      <c r="H9" s="729">
        <v>0</v>
      </c>
      <c r="I9" s="729">
        <v>0</v>
      </c>
      <c r="J9" s="730">
        <v>0</v>
      </c>
      <c r="K9" s="728" t="str">
        <f>'Results-1a-medium soiling'!P9</f>
        <v>for hard water (&gt;2,5 mmol CaCO3/l)</v>
      </c>
      <c r="L9" s="729">
        <v>0</v>
      </c>
      <c r="M9" s="729">
        <v>0</v>
      </c>
      <c r="N9" s="730">
        <v>0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s="7" customFormat="1" ht="62.25" customHeight="1" x14ac:dyDescent="0.15">
      <c r="A10" s="395"/>
      <c r="B10" s="436" t="s">
        <v>956</v>
      </c>
      <c r="C10" s="396" t="str">
        <f>'Results-1a-medium soiling'!G10</f>
        <v>CDV chron</v>
      </c>
      <c r="D10" s="350" t="str">
        <f>'Results-1a-medium soiling'!H10</f>
        <v>Organic substance not readily biodegradable</v>
      </c>
      <c r="E10" s="350" t="str">
        <f>'Results-1a-medium soiling'!I10</f>
        <v>Organic substance anaerobically non-biodegradable</v>
      </c>
      <c r="F10" s="397" t="str">
        <f>'Results-1a-medium soiling'!J10</f>
        <v>elemental phosphorus</v>
      </c>
      <c r="G10" s="396" t="str">
        <f>C10</f>
        <v>CDV chron</v>
      </c>
      <c r="H10" s="350" t="str">
        <f>D10</f>
        <v>Organic substance not readily biodegradable</v>
      </c>
      <c r="I10" s="350" t="str">
        <f>E10</f>
        <v>Organic substance anaerobically non-biodegradable</v>
      </c>
      <c r="J10" s="397" t="str">
        <f>F10</f>
        <v>elemental phosphorus</v>
      </c>
      <c r="K10" s="396" t="str">
        <f>C10</f>
        <v>CDV chron</v>
      </c>
      <c r="L10" s="350" t="str">
        <f>D10</f>
        <v>Organic substance not readily biodegradable</v>
      </c>
      <c r="M10" s="350" t="str">
        <f>E10</f>
        <v>Organic substance anaerobically non-biodegradable</v>
      </c>
      <c r="N10" s="397" t="str">
        <f>F10</f>
        <v>elemental phosphorus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ht="12.75" customHeight="1" x14ac:dyDescent="0.15">
      <c r="A11" s="399">
        <v>1</v>
      </c>
      <c r="B11" s="400"/>
      <c r="C11" s="425"/>
      <c r="D11" s="427"/>
      <c r="E11" s="427"/>
      <c r="F11" s="429"/>
      <c r="G11" s="401"/>
      <c r="H11" s="402"/>
      <c r="I11" s="403"/>
      <c r="J11" s="404"/>
      <c r="K11" s="401"/>
      <c r="L11" s="402"/>
      <c r="M11" s="403"/>
      <c r="N11" s="404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x14ac:dyDescent="0.15">
      <c r="A12" s="399">
        <v>2</v>
      </c>
      <c r="B12" s="400"/>
      <c r="C12" s="425"/>
      <c r="D12" s="427"/>
      <c r="E12" s="427"/>
      <c r="F12" s="429"/>
      <c r="G12" s="401"/>
      <c r="H12" s="402"/>
      <c r="I12" s="403"/>
      <c r="J12" s="404"/>
      <c r="K12" s="401"/>
      <c r="L12" s="402"/>
      <c r="M12" s="403"/>
      <c r="N12" s="404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x14ac:dyDescent="0.15">
      <c r="A13" s="399">
        <v>3</v>
      </c>
      <c r="B13" s="400"/>
      <c r="C13" s="425"/>
      <c r="D13" s="427"/>
      <c r="E13" s="427"/>
      <c r="F13" s="429"/>
      <c r="G13" s="401"/>
      <c r="H13" s="402"/>
      <c r="I13" s="403"/>
      <c r="J13" s="404"/>
      <c r="K13" s="401"/>
      <c r="L13" s="402"/>
      <c r="M13" s="403"/>
      <c r="N13" s="404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 x14ac:dyDescent="0.15">
      <c r="A14" s="399">
        <v>4</v>
      </c>
      <c r="B14" s="400"/>
      <c r="C14" s="425"/>
      <c r="D14" s="427"/>
      <c r="E14" s="427"/>
      <c r="F14" s="429"/>
      <c r="G14" s="401"/>
      <c r="H14" s="402"/>
      <c r="I14" s="403"/>
      <c r="J14" s="404"/>
      <c r="K14" s="401"/>
      <c r="L14" s="402"/>
      <c r="M14" s="403"/>
      <c r="N14" s="404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x14ac:dyDescent="0.15">
      <c r="A15" s="399">
        <v>5</v>
      </c>
      <c r="B15" s="400"/>
      <c r="C15" s="425"/>
      <c r="D15" s="427"/>
      <c r="E15" s="427"/>
      <c r="F15" s="429"/>
      <c r="G15" s="401"/>
      <c r="H15" s="402"/>
      <c r="I15" s="403"/>
      <c r="J15" s="404"/>
      <c r="K15" s="401"/>
      <c r="L15" s="402"/>
      <c r="M15" s="403"/>
      <c r="N15" s="404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 x14ac:dyDescent="0.15">
      <c r="A16" s="399">
        <v>6</v>
      </c>
      <c r="B16" s="400"/>
      <c r="C16" s="426"/>
      <c r="D16" s="428"/>
      <c r="E16" s="428"/>
      <c r="F16" s="430"/>
      <c r="G16" s="419"/>
      <c r="H16" s="420"/>
      <c r="I16" s="421"/>
      <c r="J16" s="422"/>
      <c r="K16" s="419"/>
      <c r="L16" s="420"/>
      <c r="M16" s="421"/>
      <c r="N16" s="422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 x14ac:dyDescent="0.15">
      <c r="A17" s="399">
        <v>7</v>
      </c>
      <c r="B17" s="400"/>
      <c r="C17" s="426"/>
      <c r="D17" s="428"/>
      <c r="E17" s="428"/>
      <c r="F17" s="430"/>
      <c r="G17" s="419"/>
      <c r="H17" s="420"/>
      <c r="I17" s="421"/>
      <c r="J17" s="422"/>
      <c r="K17" s="419"/>
      <c r="L17" s="420"/>
      <c r="M17" s="421"/>
      <c r="N17" s="422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ht="14" thickBot="1" x14ac:dyDescent="0.2">
      <c r="A18" s="399">
        <v>8</v>
      </c>
      <c r="B18" s="400"/>
      <c r="C18" s="460"/>
      <c r="D18" s="461"/>
      <c r="E18" s="461"/>
      <c r="F18" s="462"/>
      <c r="G18" s="406"/>
      <c r="H18" s="407"/>
      <c r="I18" s="408"/>
      <c r="J18" s="409"/>
      <c r="K18" s="406"/>
      <c r="L18" s="407"/>
      <c r="M18" s="408"/>
      <c r="N18" s="409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ht="14" x14ac:dyDescent="0.15">
      <c r="A19" s="411"/>
      <c r="B19" s="20" t="str">
        <f>'Formulation Pre-Products'!B62</f>
        <v>Sum:</v>
      </c>
      <c r="C19" s="457">
        <f t="shared" ref="C19:N19" si="0">SUM(C11:C18)</f>
        <v>0</v>
      </c>
      <c r="D19" s="458">
        <f t="shared" si="0"/>
        <v>0</v>
      </c>
      <c r="E19" s="458">
        <f t="shared" si="0"/>
        <v>0</v>
      </c>
      <c r="F19" s="459">
        <f t="shared" si="0"/>
        <v>0</v>
      </c>
      <c r="G19" s="445">
        <f t="shared" si="0"/>
        <v>0</v>
      </c>
      <c r="H19" s="424">
        <f t="shared" si="0"/>
        <v>0</v>
      </c>
      <c r="I19" s="424">
        <f t="shared" si="0"/>
        <v>0</v>
      </c>
      <c r="J19" s="446">
        <f t="shared" si="0"/>
        <v>0</v>
      </c>
      <c r="K19" s="445">
        <f t="shared" si="0"/>
        <v>0</v>
      </c>
      <c r="L19" s="424">
        <f t="shared" si="0"/>
        <v>0</v>
      </c>
      <c r="M19" s="424">
        <f t="shared" si="0"/>
        <v>0</v>
      </c>
      <c r="N19" s="446">
        <f t="shared" si="0"/>
        <v>0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24" x14ac:dyDescent="0.15">
      <c r="A20" s="412"/>
      <c r="B20" s="20"/>
      <c r="C20" s="447" t="str">
        <f>'Results-1a-medium soiling'!G63</f>
        <v>=CDV chron</v>
      </c>
      <c r="D20" s="335" t="str">
        <f>'Results-1a-medium soiling'!H63</f>
        <v>=aNBO (org. subst.)</v>
      </c>
      <c r="E20" s="335" t="str">
        <f>'Results-1a-medium soiling'!I63</f>
        <v>=anNBO (org. subst.)</v>
      </c>
      <c r="F20" s="448" t="str">
        <f>'Results-1a-medium soiling'!J63</f>
        <v>=P</v>
      </c>
      <c r="G20" s="447" t="str">
        <f>C20</f>
        <v>=CDV chron</v>
      </c>
      <c r="H20" s="335" t="str">
        <f t="shared" ref="H20:J20" si="1">D20</f>
        <v>=aNBO (org. subst.)</v>
      </c>
      <c r="I20" s="335" t="str">
        <f t="shared" si="1"/>
        <v>=anNBO (org. subst.)</v>
      </c>
      <c r="J20" s="448" t="str">
        <f t="shared" si="1"/>
        <v>=P</v>
      </c>
      <c r="K20" s="447" t="str">
        <f>C20</f>
        <v>=CDV chron</v>
      </c>
      <c r="L20" s="335" t="str">
        <f t="shared" ref="L20:N20" si="2">D20</f>
        <v>=aNBO (org. subst.)</v>
      </c>
      <c r="M20" s="335" t="str">
        <f t="shared" si="2"/>
        <v>=anNBO (org. subst.)</v>
      </c>
      <c r="N20" s="448" t="str">
        <f t="shared" si="2"/>
        <v>=P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 x14ac:dyDescent="0.15">
      <c r="A21" s="412"/>
      <c r="B21" s="439" t="str">
        <f>'Results-1a-medium soiling'!C64</f>
        <v>Limit</v>
      </c>
      <c r="C21" s="449" t="e">
        <f>VLOOKUP($C$6,Auswahldaten!$A$152:$AN$153,2,FALSE)</f>
        <v>#N/A</v>
      </c>
      <c r="D21" s="338" t="e">
        <f>VLOOKUP($C$6,Auswahldaten!$A$152:$AN$153,3,FALSE)</f>
        <v>#N/A</v>
      </c>
      <c r="E21" s="338" t="e">
        <f>VLOOKUP($C$6,Auswahldaten!$A$152:$AN$153,4,FALSE)</f>
        <v>#N/A</v>
      </c>
      <c r="F21" s="450" t="e">
        <f>VLOOKUP($C$6,Auswahldaten!$A$152:$AN$153,6,FALSE)</f>
        <v>#N/A</v>
      </c>
      <c r="G21" s="449" t="e">
        <f>VLOOKUP($C$6,Auswahldaten!$A$152:$AN$153,9,FALSE)</f>
        <v>#N/A</v>
      </c>
      <c r="H21" s="338" t="e">
        <f>VLOOKUP($C$6,Auswahldaten!$A$152:$AN$153,10,FALSE)</f>
        <v>#N/A</v>
      </c>
      <c r="I21" s="338" t="e">
        <f>VLOOKUP($C$6,Auswahldaten!$A$152:$AN$153,11,FALSE)</f>
        <v>#N/A</v>
      </c>
      <c r="J21" s="450" t="e">
        <f>VLOOKUP($C$6,Auswahldaten!$A$152:$AN$153,12,FALSE)</f>
        <v>#N/A</v>
      </c>
      <c r="K21" s="449" t="e">
        <f>VLOOKUP($C$6,Auswahldaten!$A$152:$AN$153,13,FALSE)</f>
        <v>#N/A</v>
      </c>
      <c r="L21" s="338" t="e">
        <f>VLOOKUP($C$6,Auswahldaten!$A$152:$AN$153,14,FALSE)</f>
        <v>#N/A</v>
      </c>
      <c r="M21" s="338" t="e">
        <f>VLOOKUP($C$6,Auswahldaten!$A$152:$AN$153,15,FALSE)</f>
        <v>#N/A</v>
      </c>
      <c r="N21" s="450" t="e">
        <f>VLOOKUP($C$6,Auswahldaten!$A$152:$AN$153,16,FALSE)</f>
        <v>#N/A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4" thickBot="1" x14ac:dyDescent="0.2">
      <c r="A22" s="412"/>
      <c r="B22" s="440" t="str">
        <f>'Results-1a-medium soiling'!C65</f>
        <v>Result</v>
      </c>
      <c r="C22" s="455" t="e">
        <f t="shared" ref="C22:N22" si="3">IF(C19&lt;=C21,"ok","not ok")</f>
        <v>#N/A</v>
      </c>
      <c r="D22" s="341" t="e">
        <f t="shared" si="3"/>
        <v>#N/A</v>
      </c>
      <c r="E22" s="340" t="e">
        <f t="shared" si="3"/>
        <v>#N/A</v>
      </c>
      <c r="F22" s="456" t="e">
        <f t="shared" si="3"/>
        <v>#N/A</v>
      </c>
      <c r="G22" s="455" t="e">
        <f t="shared" si="3"/>
        <v>#N/A</v>
      </c>
      <c r="H22" s="341" t="e">
        <f t="shared" si="3"/>
        <v>#N/A</v>
      </c>
      <c r="I22" s="340" t="e">
        <f t="shared" si="3"/>
        <v>#N/A</v>
      </c>
      <c r="J22" s="456" t="e">
        <f t="shared" si="3"/>
        <v>#N/A</v>
      </c>
      <c r="K22" s="455" t="e">
        <f t="shared" si="3"/>
        <v>#N/A</v>
      </c>
      <c r="L22" s="341" t="e">
        <f t="shared" si="3"/>
        <v>#N/A</v>
      </c>
      <c r="M22" s="340" t="e">
        <f t="shared" si="3"/>
        <v>#N/A</v>
      </c>
      <c r="N22" s="456" t="e">
        <f t="shared" si="3"/>
        <v>#N/A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5" ht="15" thickTop="1" thickBot="1" x14ac:dyDescent="0.2">
      <c r="A23" s="413"/>
      <c r="B23" s="414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393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s="7" customFormat="1" ht="15" customHeight="1" thickBot="1" x14ac:dyDescent="0.2">
      <c r="A24" s="417"/>
      <c r="B24" s="418"/>
      <c r="C24" s="731" t="str">
        <f>IF(Product!$C$2=Languages!A3,Languages!A329,Languages!B329)</f>
        <v>I&amp;I LD: Degree of soiling:
Light</v>
      </c>
      <c r="D24" s="732"/>
      <c r="E24" s="732"/>
      <c r="F24" s="732"/>
      <c r="G24" s="732"/>
      <c r="H24" s="732"/>
      <c r="I24" s="732"/>
      <c r="J24" s="732"/>
      <c r="K24" s="732"/>
      <c r="L24" s="732"/>
      <c r="M24" s="732"/>
      <c r="N24" s="733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s="7" customFormat="1" ht="33.75" customHeight="1" x14ac:dyDescent="0.15">
      <c r="A25" s="394"/>
      <c r="B25" s="435" t="s">
        <v>955</v>
      </c>
      <c r="C25" s="728" t="str">
        <f>C9</f>
        <v>for soft water (&lt;1,5 mmol CaCO3/l)</v>
      </c>
      <c r="D25" s="729" t="s">
        <v>947</v>
      </c>
      <c r="E25" s="729" t="s">
        <v>948</v>
      </c>
      <c r="F25" s="730">
        <v>0</v>
      </c>
      <c r="G25" s="728" t="str">
        <f>G9</f>
        <v>for medium water (1,5 – 2,5 mmol CaCO3/l)</v>
      </c>
      <c r="H25" s="729">
        <v>0</v>
      </c>
      <c r="I25" s="729">
        <v>0</v>
      </c>
      <c r="J25" s="730">
        <v>0</v>
      </c>
      <c r="K25" s="728" t="str">
        <f>K9</f>
        <v>for hard water (&gt;2,5 mmol CaCO3/l)</v>
      </c>
      <c r="L25" s="729">
        <v>0</v>
      </c>
      <c r="M25" s="729">
        <v>0</v>
      </c>
      <c r="N25" s="730">
        <v>0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s="7" customFormat="1" ht="62.25" customHeight="1" x14ac:dyDescent="0.15">
      <c r="A26" s="395"/>
      <c r="B26" s="436" t="s">
        <v>956</v>
      </c>
      <c r="C26" s="396" t="str">
        <f>C10</f>
        <v>CDV chron</v>
      </c>
      <c r="D26" s="350" t="str">
        <f>D10</f>
        <v>Organic substance not readily biodegradable</v>
      </c>
      <c r="E26" s="350" t="str">
        <f>E10</f>
        <v>Organic substance anaerobically non-biodegradable</v>
      </c>
      <c r="F26" s="397" t="str">
        <f>F10</f>
        <v>elemental phosphorus</v>
      </c>
      <c r="G26" s="396" t="str">
        <f>C10</f>
        <v>CDV chron</v>
      </c>
      <c r="H26" s="350" t="str">
        <f>D10</f>
        <v>Organic substance not readily biodegradable</v>
      </c>
      <c r="I26" s="350" t="str">
        <f>E10</f>
        <v>Organic substance anaerobically non-biodegradable</v>
      </c>
      <c r="J26" s="397" t="str">
        <f>F10</f>
        <v>elemental phosphorus</v>
      </c>
      <c r="K26" s="396" t="str">
        <f>C10</f>
        <v>CDV chron</v>
      </c>
      <c r="L26" s="350" t="str">
        <f>D10</f>
        <v>Organic substance not readily biodegradable</v>
      </c>
      <c r="M26" s="350" t="str">
        <f>E10</f>
        <v>Organic substance anaerobically non-biodegradable</v>
      </c>
      <c r="N26" s="397" t="str">
        <f>F10</f>
        <v>elemental phosphorus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ht="12.75" customHeight="1" x14ac:dyDescent="0.15">
      <c r="A27" s="399">
        <v>1</v>
      </c>
      <c r="B27" s="496" t="str">
        <f>IF(B11="","",B11)</f>
        <v/>
      </c>
      <c r="C27" s="401"/>
      <c r="D27" s="402"/>
      <c r="E27" s="403"/>
      <c r="F27" s="404"/>
      <c r="G27" s="401"/>
      <c r="H27" s="402"/>
      <c r="I27" s="403"/>
      <c r="J27" s="404"/>
      <c r="K27" s="401"/>
      <c r="L27" s="402"/>
      <c r="M27" s="403"/>
      <c r="N27" s="404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x14ac:dyDescent="0.15">
      <c r="A28" s="399">
        <v>2</v>
      </c>
      <c r="B28" s="496" t="str">
        <f t="shared" ref="B28:B34" si="4">IF(B12="","",B12)</f>
        <v/>
      </c>
      <c r="C28" s="401"/>
      <c r="D28" s="402"/>
      <c r="E28" s="403"/>
      <c r="F28" s="404"/>
      <c r="G28" s="401"/>
      <c r="H28" s="402"/>
      <c r="I28" s="403"/>
      <c r="J28" s="404"/>
      <c r="K28" s="401"/>
      <c r="L28" s="402"/>
      <c r="M28" s="403"/>
      <c r="N28" s="404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x14ac:dyDescent="0.15">
      <c r="A29" s="399">
        <v>3</v>
      </c>
      <c r="B29" s="496" t="str">
        <f t="shared" si="4"/>
        <v/>
      </c>
      <c r="C29" s="401"/>
      <c r="D29" s="402"/>
      <c r="E29" s="403"/>
      <c r="F29" s="404"/>
      <c r="G29" s="401"/>
      <c r="H29" s="402"/>
      <c r="I29" s="403"/>
      <c r="J29" s="404"/>
      <c r="K29" s="401"/>
      <c r="L29" s="402"/>
      <c r="M29" s="403"/>
      <c r="N29" s="404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x14ac:dyDescent="0.15">
      <c r="A30" s="399">
        <v>4</v>
      </c>
      <c r="B30" s="496" t="str">
        <f t="shared" si="4"/>
        <v/>
      </c>
      <c r="C30" s="401"/>
      <c r="D30" s="402"/>
      <c r="E30" s="403"/>
      <c r="F30" s="404"/>
      <c r="G30" s="401"/>
      <c r="H30" s="402"/>
      <c r="I30" s="403"/>
      <c r="J30" s="404"/>
      <c r="K30" s="401"/>
      <c r="L30" s="402"/>
      <c r="M30" s="403"/>
      <c r="N30" s="404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x14ac:dyDescent="0.15">
      <c r="A31" s="399">
        <v>5</v>
      </c>
      <c r="B31" s="496" t="str">
        <f t="shared" si="4"/>
        <v/>
      </c>
      <c r="C31" s="401"/>
      <c r="D31" s="402"/>
      <c r="E31" s="403"/>
      <c r="F31" s="404"/>
      <c r="G31" s="401"/>
      <c r="H31" s="402"/>
      <c r="I31" s="403"/>
      <c r="J31" s="404"/>
      <c r="K31" s="401"/>
      <c r="L31" s="402"/>
      <c r="M31" s="403"/>
      <c r="N31" s="404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x14ac:dyDescent="0.15">
      <c r="A32" s="399">
        <v>6</v>
      </c>
      <c r="B32" s="496" t="str">
        <f t="shared" si="4"/>
        <v/>
      </c>
      <c r="C32" s="419"/>
      <c r="D32" s="420"/>
      <c r="E32" s="421"/>
      <c r="F32" s="422"/>
      <c r="G32" s="419"/>
      <c r="H32" s="420"/>
      <c r="I32" s="421"/>
      <c r="J32" s="422"/>
      <c r="K32" s="419"/>
      <c r="L32" s="420"/>
      <c r="M32" s="421"/>
      <c r="N32" s="422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x14ac:dyDescent="0.15">
      <c r="A33" s="399">
        <v>7</v>
      </c>
      <c r="B33" s="496" t="str">
        <f t="shared" si="4"/>
        <v/>
      </c>
      <c r="C33" s="419"/>
      <c r="D33" s="420"/>
      <c r="E33" s="421"/>
      <c r="F33" s="422"/>
      <c r="G33" s="419"/>
      <c r="H33" s="420"/>
      <c r="I33" s="421"/>
      <c r="J33" s="422"/>
      <c r="K33" s="419"/>
      <c r="L33" s="420"/>
      <c r="M33" s="421"/>
      <c r="N33" s="422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14" thickBot="1" x14ac:dyDescent="0.2">
      <c r="A34" s="399">
        <v>8</v>
      </c>
      <c r="B34" s="496" t="str">
        <f t="shared" si="4"/>
        <v/>
      </c>
      <c r="C34" s="406"/>
      <c r="D34" s="407"/>
      <c r="E34" s="408"/>
      <c r="F34" s="409"/>
      <c r="G34" s="406"/>
      <c r="H34" s="407"/>
      <c r="I34" s="408"/>
      <c r="J34" s="409"/>
      <c r="K34" s="406"/>
      <c r="L34" s="407"/>
      <c r="M34" s="408"/>
      <c r="N34" s="409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ht="14" x14ac:dyDescent="0.15">
      <c r="A35" s="411"/>
      <c r="B35" s="20" t="str">
        <f>B19</f>
        <v>Sum:</v>
      </c>
      <c r="C35" s="445">
        <f t="shared" ref="C35:N35" si="5">SUM(C27:C34)</f>
        <v>0</v>
      </c>
      <c r="D35" s="424">
        <f t="shared" si="5"/>
        <v>0</v>
      </c>
      <c r="E35" s="424">
        <f t="shared" si="5"/>
        <v>0</v>
      </c>
      <c r="F35" s="446">
        <f t="shared" si="5"/>
        <v>0</v>
      </c>
      <c r="G35" s="445">
        <f t="shared" si="5"/>
        <v>0</v>
      </c>
      <c r="H35" s="424">
        <f t="shared" si="5"/>
        <v>0</v>
      </c>
      <c r="I35" s="424">
        <f t="shared" si="5"/>
        <v>0</v>
      </c>
      <c r="J35" s="446">
        <f t="shared" si="5"/>
        <v>0</v>
      </c>
      <c r="K35" s="445">
        <f t="shared" si="5"/>
        <v>0</v>
      </c>
      <c r="L35" s="424">
        <f t="shared" si="5"/>
        <v>0</v>
      </c>
      <c r="M35" s="424">
        <f t="shared" si="5"/>
        <v>0</v>
      </c>
      <c r="N35" s="446">
        <f t="shared" si="5"/>
        <v>0</v>
      </c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ht="24" x14ac:dyDescent="0.15">
      <c r="A36" s="412"/>
      <c r="B36" s="20"/>
      <c r="C36" s="447" t="str">
        <f>C20</f>
        <v>=CDV chron</v>
      </c>
      <c r="D36" s="335" t="str">
        <f t="shared" ref="D36:F36" si="6">D20</f>
        <v>=aNBO (org. subst.)</v>
      </c>
      <c r="E36" s="335" t="str">
        <f t="shared" si="6"/>
        <v>=anNBO (org. subst.)</v>
      </c>
      <c r="F36" s="448" t="str">
        <f t="shared" si="6"/>
        <v>=P</v>
      </c>
      <c r="G36" s="447" t="str">
        <f>C20</f>
        <v>=CDV chron</v>
      </c>
      <c r="H36" s="335" t="str">
        <f t="shared" ref="H36:J36" si="7">D20</f>
        <v>=aNBO (org. subst.)</v>
      </c>
      <c r="I36" s="335" t="str">
        <f t="shared" si="7"/>
        <v>=anNBO (org. subst.)</v>
      </c>
      <c r="J36" s="448" t="str">
        <f t="shared" si="7"/>
        <v>=P</v>
      </c>
      <c r="K36" s="447" t="str">
        <f>C20</f>
        <v>=CDV chron</v>
      </c>
      <c r="L36" s="335" t="str">
        <f t="shared" ref="L36:N36" si="8">D20</f>
        <v>=aNBO (org. subst.)</v>
      </c>
      <c r="M36" s="335" t="str">
        <f t="shared" si="8"/>
        <v>=anNBO (org. subst.)</v>
      </c>
      <c r="N36" s="448" t="str">
        <f t="shared" si="8"/>
        <v>=P</v>
      </c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x14ac:dyDescent="0.15">
      <c r="A37" s="412"/>
      <c r="B37" s="439" t="str">
        <f>B21</f>
        <v>Limit</v>
      </c>
      <c r="C37" s="449" t="e">
        <f>VLOOKUP($C$6,Auswahldaten!$A$152:$AN$153,17,FALSE)</f>
        <v>#N/A</v>
      </c>
      <c r="D37" s="338" t="e">
        <f>VLOOKUP($C$6,Auswahldaten!$A$152:$AN$153,18,FALSE)</f>
        <v>#N/A</v>
      </c>
      <c r="E37" s="338" t="e">
        <f>VLOOKUP($C$6,Auswahldaten!$A$152:$AN$153,19,FALSE)</f>
        <v>#N/A</v>
      </c>
      <c r="F37" s="450" t="e">
        <f>VLOOKUP($C$6,Auswahldaten!$A$152:$AN$153,20,FALSE)</f>
        <v>#N/A</v>
      </c>
      <c r="G37" s="449" t="e">
        <f>VLOOKUP($C$6,Auswahldaten!$A$152:$AN$153,21,FALSE)</f>
        <v>#N/A</v>
      </c>
      <c r="H37" s="338" t="e">
        <f>VLOOKUP($C$6,Auswahldaten!$A$152:$AN$153,22,FALSE)</f>
        <v>#N/A</v>
      </c>
      <c r="I37" s="338" t="e">
        <f>VLOOKUP($C$6,Auswahldaten!$A$152:$AN$153,23,FALSE)</f>
        <v>#N/A</v>
      </c>
      <c r="J37" s="450" t="e">
        <f>VLOOKUP($C$6,Auswahldaten!$A$152:$AN$153,24,FALSE)</f>
        <v>#N/A</v>
      </c>
      <c r="K37" s="449" t="e">
        <f>VLOOKUP($C$6,Auswahldaten!$A$152:$AN$153,25,FALSE)</f>
        <v>#N/A</v>
      </c>
      <c r="L37" s="338" t="e">
        <f>VLOOKUP($C$6,Auswahldaten!$A$152:$AN$153,26,FALSE)</f>
        <v>#N/A</v>
      </c>
      <c r="M37" s="338" t="e">
        <f>VLOOKUP($C$6,Auswahldaten!$A$152:$AN$153,27,FALSE)</f>
        <v>#N/A</v>
      </c>
      <c r="N37" s="450" t="e">
        <f>VLOOKUP($C$6,Auswahldaten!$A$152:$AN$153,28,FALSE)</f>
        <v>#N/A</v>
      </c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ht="14" thickBot="1" x14ac:dyDescent="0.2">
      <c r="A38" s="412"/>
      <c r="B38" s="440" t="str">
        <f>B22</f>
        <v>Result</v>
      </c>
      <c r="C38" s="455" t="e">
        <f t="shared" ref="C38:N38" si="9">IF(C35&lt;=C37,"ok","not ok")</f>
        <v>#N/A</v>
      </c>
      <c r="D38" s="341" t="e">
        <f t="shared" si="9"/>
        <v>#N/A</v>
      </c>
      <c r="E38" s="340" t="e">
        <f t="shared" si="9"/>
        <v>#N/A</v>
      </c>
      <c r="F38" s="456" t="e">
        <f t="shared" si="9"/>
        <v>#N/A</v>
      </c>
      <c r="G38" s="455" t="e">
        <f t="shared" si="9"/>
        <v>#N/A</v>
      </c>
      <c r="H38" s="341" t="e">
        <f t="shared" si="9"/>
        <v>#N/A</v>
      </c>
      <c r="I38" s="340" t="e">
        <f t="shared" si="9"/>
        <v>#N/A</v>
      </c>
      <c r="J38" s="456" t="e">
        <f t="shared" si="9"/>
        <v>#N/A</v>
      </c>
      <c r="K38" s="455" t="e">
        <f t="shared" si="9"/>
        <v>#N/A</v>
      </c>
      <c r="L38" s="341" t="e">
        <f t="shared" si="9"/>
        <v>#N/A</v>
      </c>
      <c r="M38" s="340" t="e">
        <f t="shared" si="9"/>
        <v>#N/A</v>
      </c>
      <c r="N38" s="456" t="e">
        <f t="shared" si="9"/>
        <v>#N/A</v>
      </c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ht="15" thickTop="1" thickBot="1" x14ac:dyDescent="0.2">
      <c r="A39" s="413"/>
      <c r="B39" s="414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ht="14" thickBot="1" x14ac:dyDescent="0.2">
      <c r="A40" s="23"/>
      <c r="B40" s="20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s="7" customFormat="1" ht="15" customHeight="1" thickBot="1" x14ac:dyDescent="0.2">
      <c r="A41" s="417"/>
      <c r="B41" s="418"/>
      <c r="C41" s="731" t="str">
        <f>IF(Product!$C$2=Languages!A3,Languages!A331,Languages!B331)</f>
        <v>I&amp;I LD: Degree of soiling:
Heavy</v>
      </c>
      <c r="D41" s="732"/>
      <c r="E41" s="732"/>
      <c r="F41" s="732"/>
      <c r="G41" s="732"/>
      <c r="H41" s="732"/>
      <c r="I41" s="732"/>
      <c r="J41" s="732"/>
      <c r="K41" s="732"/>
      <c r="L41" s="732"/>
      <c r="M41" s="732"/>
      <c r="N41" s="733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s="7" customFormat="1" ht="33.75" customHeight="1" x14ac:dyDescent="0.15">
      <c r="A42" s="394"/>
      <c r="B42" s="435" t="s">
        <v>955</v>
      </c>
      <c r="C42" s="728" t="str">
        <f>C9</f>
        <v>for soft water (&lt;1,5 mmol CaCO3/l)</v>
      </c>
      <c r="D42" s="729" t="s">
        <v>947</v>
      </c>
      <c r="E42" s="729" t="s">
        <v>948</v>
      </c>
      <c r="F42" s="730">
        <v>0</v>
      </c>
      <c r="G42" s="734" t="str">
        <f>G9</f>
        <v>for medium water (1,5 – 2,5 mmol CaCO3/l)</v>
      </c>
      <c r="H42" s="729">
        <v>0</v>
      </c>
      <c r="I42" s="729">
        <v>0</v>
      </c>
      <c r="J42" s="729">
        <v>0</v>
      </c>
      <c r="K42" s="728" t="str">
        <f>K9</f>
        <v>for hard water (&gt;2,5 mmol CaCO3/l)</v>
      </c>
      <c r="L42" s="729">
        <v>0</v>
      </c>
      <c r="M42" s="729">
        <v>0</v>
      </c>
      <c r="N42" s="730">
        <v>0</v>
      </c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s="7" customFormat="1" ht="62.25" customHeight="1" x14ac:dyDescent="0.15">
      <c r="A43" s="395"/>
      <c r="B43" s="436" t="s">
        <v>956</v>
      </c>
      <c r="C43" s="396" t="str">
        <f>C10</f>
        <v>CDV chron</v>
      </c>
      <c r="D43" s="350" t="str">
        <f>D10</f>
        <v>Organic substance not readily biodegradable</v>
      </c>
      <c r="E43" s="350" t="str">
        <f>E10</f>
        <v>Organic substance anaerobically non-biodegradable</v>
      </c>
      <c r="F43" s="397" t="str">
        <f>F10</f>
        <v>elemental phosphorus</v>
      </c>
      <c r="G43" s="398" t="str">
        <f>C10</f>
        <v>CDV chron</v>
      </c>
      <c r="H43" s="350" t="str">
        <f>D10</f>
        <v>Organic substance not readily biodegradable</v>
      </c>
      <c r="I43" s="350" t="str">
        <f>E10</f>
        <v>Organic substance anaerobically non-biodegradable</v>
      </c>
      <c r="J43" s="431" t="str">
        <f>F10</f>
        <v>elemental phosphorus</v>
      </c>
      <c r="K43" s="396" t="str">
        <f>C10</f>
        <v>CDV chron</v>
      </c>
      <c r="L43" s="350" t="str">
        <f>D10</f>
        <v>Organic substance not readily biodegradable</v>
      </c>
      <c r="M43" s="350" t="str">
        <f>E10</f>
        <v>Organic substance anaerobically non-biodegradable</v>
      </c>
      <c r="N43" s="397" t="str">
        <f>F10</f>
        <v>elemental phosphorus</v>
      </c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ht="12.75" customHeight="1" x14ac:dyDescent="0.15">
      <c r="A44" s="399">
        <v>1</v>
      </c>
      <c r="B44" s="496" t="str">
        <f>IF(B11="","",B11)</f>
        <v/>
      </c>
      <c r="C44" s="401"/>
      <c r="D44" s="402"/>
      <c r="E44" s="403"/>
      <c r="F44" s="404"/>
      <c r="G44" s="405"/>
      <c r="H44" s="402"/>
      <c r="I44" s="403"/>
      <c r="J44" s="432"/>
      <c r="K44" s="401"/>
      <c r="L44" s="402"/>
      <c r="M44" s="403"/>
      <c r="N44" s="404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x14ac:dyDescent="0.15">
      <c r="A45" s="399">
        <v>2</v>
      </c>
      <c r="B45" s="496" t="str">
        <f t="shared" ref="B45:B51" si="10">IF(B12="","",B12)</f>
        <v/>
      </c>
      <c r="C45" s="401"/>
      <c r="D45" s="402"/>
      <c r="E45" s="403"/>
      <c r="F45" s="404"/>
      <c r="G45" s="405"/>
      <c r="H45" s="402"/>
      <c r="I45" s="403"/>
      <c r="J45" s="432"/>
      <c r="K45" s="401"/>
      <c r="L45" s="402"/>
      <c r="M45" s="403"/>
      <c r="N45" s="404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x14ac:dyDescent="0.15">
      <c r="A46" s="399">
        <v>3</v>
      </c>
      <c r="B46" s="496" t="str">
        <f t="shared" si="10"/>
        <v/>
      </c>
      <c r="C46" s="401"/>
      <c r="D46" s="402"/>
      <c r="E46" s="403"/>
      <c r="F46" s="404"/>
      <c r="G46" s="405"/>
      <c r="H46" s="402"/>
      <c r="I46" s="403"/>
      <c r="J46" s="432"/>
      <c r="K46" s="401"/>
      <c r="L46" s="402"/>
      <c r="M46" s="403"/>
      <c r="N46" s="404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x14ac:dyDescent="0.15">
      <c r="A47" s="399">
        <v>4</v>
      </c>
      <c r="B47" s="496" t="str">
        <f t="shared" si="10"/>
        <v/>
      </c>
      <c r="C47" s="401"/>
      <c r="D47" s="402"/>
      <c r="E47" s="403"/>
      <c r="F47" s="404"/>
      <c r="G47" s="405"/>
      <c r="H47" s="402"/>
      <c r="I47" s="403"/>
      <c r="J47" s="432"/>
      <c r="K47" s="401"/>
      <c r="L47" s="402"/>
      <c r="M47" s="403"/>
      <c r="N47" s="404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x14ac:dyDescent="0.15">
      <c r="A48" s="399">
        <v>5</v>
      </c>
      <c r="B48" s="496" t="str">
        <f t="shared" si="10"/>
        <v/>
      </c>
      <c r="C48" s="401"/>
      <c r="D48" s="402"/>
      <c r="E48" s="403"/>
      <c r="F48" s="404"/>
      <c r="G48" s="405"/>
      <c r="H48" s="402"/>
      <c r="I48" s="403"/>
      <c r="J48" s="432"/>
      <c r="K48" s="401"/>
      <c r="L48" s="402"/>
      <c r="M48" s="403"/>
      <c r="N48" s="404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 x14ac:dyDescent="0.15">
      <c r="A49" s="399">
        <v>6</v>
      </c>
      <c r="B49" s="496" t="str">
        <f t="shared" si="10"/>
        <v/>
      </c>
      <c r="C49" s="419"/>
      <c r="D49" s="420"/>
      <c r="E49" s="421"/>
      <c r="F49" s="422"/>
      <c r="G49" s="423"/>
      <c r="H49" s="420"/>
      <c r="I49" s="421"/>
      <c r="J49" s="433"/>
      <c r="K49" s="419"/>
      <c r="L49" s="420"/>
      <c r="M49" s="421"/>
      <c r="N49" s="42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x14ac:dyDescent="0.15">
      <c r="A50" s="399">
        <v>7</v>
      </c>
      <c r="B50" s="496" t="str">
        <f t="shared" si="10"/>
        <v/>
      </c>
      <c r="C50" s="419"/>
      <c r="D50" s="420"/>
      <c r="E50" s="421"/>
      <c r="F50" s="422"/>
      <c r="G50" s="423"/>
      <c r="H50" s="420"/>
      <c r="I50" s="421"/>
      <c r="J50" s="433"/>
      <c r="K50" s="419"/>
      <c r="L50" s="420"/>
      <c r="M50" s="421"/>
      <c r="N50" s="422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ht="14" thickBot="1" x14ac:dyDescent="0.2">
      <c r="A51" s="399">
        <v>8</v>
      </c>
      <c r="B51" s="496" t="str">
        <f t="shared" si="10"/>
        <v/>
      </c>
      <c r="C51" s="406"/>
      <c r="D51" s="407"/>
      <c r="E51" s="408"/>
      <c r="F51" s="409"/>
      <c r="G51" s="410"/>
      <c r="H51" s="407"/>
      <c r="I51" s="408"/>
      <c r="J51" s="434"/>
      <c r="K51" s="406"/>
      <c r="L51" s="407"/>
      <c r="M51" s="408"/>
      <c r="N51" s="409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ht="14" x14ac:dyDescent="0.15">
      <c r="A52" s="411"/>
      <c r="B52" s="20" t="str">
        <f>B19</f>
        <v>Sum:</v>
      </c>
      <c r="C52" s="445">
        <f t="shared" ref="C52:N52" si="11">SUM(C44:C51)</f>
        <v>0</v>
      </c>
      <c r="D52" s="424">
        <f t="shared" si="11"/>
        <v>0</v>
      </c>
      <c r="E52" s="424">
        <f t="shared" si="11"/>
        <v>0</v>
      </c>
      <c r="F52" s="446">
        <f t="shared" si="11"/>
        <v>0</v>
      </c>
      <c r="G52" s="441">
        <f t="shared" si="11"/>
        <v>0</v>
      </c>
      <c r="H52" s="424">
        <f t="shared" si="11"/>
        <v>0</v>
      </c>
      <c r="I52" s="424">
        <f t="shared" si="11"/>
        <v>0</v>
      </c>
      <c r="J52" s="451">
        <f t="shared" si="11"/>
        <v>0</v>
      </c>
      <c r="K52" s="445">
        <f t="shared" si="11"/>
        <v>0</v>
      </c>
      <c r="L52" s="424">
        <f t="shared" si="11"/>
        <v>0</v>
      </c>
      <c r="M52" s="424">
        <f t="shared" si="11"/>
        <v>0</v>
      </c>
      <c r="N52" s="446">
        <f t="shared" si="11"/>
        <v>0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ht="24" x14ac:dyDescent="0.15">
      <c r="A53" s="412"/>
      <c r="B53" s="20"/>
      <c r="C53" s="447" t="str">
        <f>C20</f>
        <v>=CDV chron</v>
      </c>
      <c r="D53" s="335" t="str">
        <f t="shared" ref="D53:F53" si="12">D20</f>
        <v>=aNBO (org. subst.)</v>
      </c>
      <c r="E53" s="335" t="str">
        <f t="shared" si="12"/>
        <v>=anNBO (org. subst.)</v>
      </c>
      <c r="F53" s="448" t="str">
        <f t="shared" si="12"/>
        <v>=P</v>
      </c>
      <c r="G53" s="442" t="str">
        <f>C20</f>
        <v>=CDV chron</v>
      </c>
      <c r="H53" s="335" t="str">
        <f t="shared" ref="H53:J53" si="13">D20</f>
        <v>=aNBO (org. subst.)</v>
      </c>
      <c r="I53" s="335" t="str">
        <f t="shared" si="13"/>
        <v>=anNBO (org. subst.)</v>
      </c>
      <c r="J53" s="452" t="str">
        <f t="shared" si="13"/>
        <v>=P</v>
      </c>
      <c r="K53" s="447" t="str">
        <f>C20</f>
        <v>=CDV chron</v>
      </c>
      <c r="L53" s="335" t="str">
        <f t="shared" ref="L53:N53" si="14">D20</f>
        <v>=aNBO (org. subst.)</v>
      </c>
      <c r="M53" s="335" t="str">
        <f t="shared" si="14"/>
        <v>=anNBO (org. subst.)</v>
      </c>
      <c r="N53" s="448" t="str">
        <f t="shared" si="14"/>
        <v>=P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x14ac:dyDescent="0.15">
      <c r="A54" s="412"/>
      <c r="B54" s="439" t="str">
        <f>B21</f>
        <v>Limit</v>
      </c>
      <c r="C54" s="449" t="e">
        <f>VLOOKUP($C$6,Auswahldaten!$A$152:$AN$153,29,FALSE)</f>
        <v>#N/A</v>
      </c>
      <c r="D54" s="338" t="e">
        <f>VLOOKUP($C$6,Auswahldaten!$A$152:$AN$153,30,FALSE)</f>
        <v>#N/A</v>
      </c>
      <c r="E54" s="338" t="e">
        <f>VLOOKUP($C$6,Auswahldaten!$A$152:$AN$153,31,FALSE)</f>
        <v>#N/A</v>
      </c>
      <c r="F54" s="450" t="e">
        <f>VLOOKUP($C$6,Auswahldaten!$A$152:$AN$153,32,FALSE)</f>
        <v>#N/A</v>
      </c>
      <c r="G54" s="443" t="e">
        <f>VLOOKUP($C$6,Auswahldaten!$A$152:$AN$153,33,FALSE)</f>
        <v>#N/A</v>
      </c>
      <c r="H54" s="338" t="e">
        <f>VLOOKUP($C$6,Auswahldaten!$A$152:$AN$153,34,FALSE)</f>
        <v>#N/A</v>
      </c>
      <c r="I54" s="338" t="e">
        <f>VLOOKUP($C$6,Auswahldaten!$A$152:$AN$153,35,FALSE)</f>
        <v>#N/A</v>
      </c>
      <c r="J54" s="453" t="e">
        <f>VLOOKUP($C$6,Auswahldaten!$A$152:$AN$153,36,FALSE)</f>
        <v>#N/A</v>
      </c>
      <c r="K54" s="449" t="e">
        <f>VLOOKUP($C$6,Auswahldaten!$A$152:$AN$153,37,FALSE)</f>
        <v>#N/A</v>
      </c>
      <c r="L54" s="338" t="e">
        <f>VLOOKUP($C$6,Auswahldaten!$A$152:$AN$153,38,FALSE)</f>
        <v>#N/A</v>
      </c>
      <c r="M54" s="338" t="e">
        <f>VLOOKUP($C$6,Auswahldaten!$A$152:$AN$153,39,FALSE)</f>
        <v>#N/A</v>
      </c>
      <c r="N54" s="450" t="e">
        <f>VLOOKUP($C$6,Auswahldaten!$A$152:$AN$153,40,FALSE)</f>
        <v>#N/A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ht="14" thickBot="1" x14ac:dyDescent="0.2">
      <c r="A55" s="412"/>
      <c r="B55" s="440" t="str">
        <f>B22</f>
        <v>Result</v>
      </c>
      <c r="C55" s="455" t="e">
        <f t="shared" ref="C55:N55" si="15">IF(C52&lt;=C54,"ok","not ok")</f>
        <v>#N/A</v>
      </c>
      <c r="D55" s="341" t="e">
        <f t="shared" si="15"/>
        <v>#N/A</v>
      </c>
      <c r="E55" s="340" t="e">
        <f t="shared" si="15"/>
        <v>#N/A</v>
      </c>
      <c r="F55" s="456" t="e">
        <f t="shared" si="15"/>
        <v>#N/A</v>
      </c>
      <c r="G55" s="444" t="e">
        <f t="shared" si="15"/>
        <v>#N/A</v>
      </c>
      <c r="H55" s="341" t="e">
        <f t="shared" si="15"/>
        <v>#N/A</v>
      </c>
      <c r="I55" s="340" t="e">
        <f t="shared" si="15"/>
        <v>#N/A</v>
      </c>
      <c r="J55" s="454" t="e">
        <f t="shared" si="15"/>
        <v>#N/A</v>
      </c>
      <c r="K55" s="455" t="e">
        <f t="shared" si="15"/>
        <v>#N/A</v>
      </c>
      <c r="L55" s="341" t="e">
        <f t="shared" si="15"/>
        <v>#N/A</v>
      </c>
      <c r="M55" s="340" t="e">
        <f t="shared" si="15"/>
        <v>#N/A</v>
      </c>
      <c r="N55" s="456" t="e">
        <f t="shared" si="15"/>
        <v>#N/A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ht="15" thickTop="1" thickBot="1" x14ac:dyDescent="0.2">
      <c r="A56" s="413"/>
      <c r="B56" s="414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x14ac:dyDescent="0.15">
      <c r="A57" s="23"/>
      <c r="B57" s="20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x14ac:dyDescent="0.15">
      <c r="A58" s="23"/>
      <c r="B58" s="46"/>
      <c r="C58" s="46"/>
      <c r="D58" s="46"/>
      <c r="E58" s="46"/>
      <c r="F58" s="46"/>
      <c r="G58" s="49"/>
      <c r="H58" s="49"/>
      <c r="I58" s="54"/>
      <c r="J58" s="49"/>
      <c r="K58" s="54"/>
      <c r="L58" s="54"/>
      <c r="M58" s="54"/>
      <c r="N58" s="54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ht="46.5" customHeight="1" x14ac:dyDescent="0.2">
      <c r="A59" s="16"/>
      <c r="B59" s="725" t="s">
        <v>148</v>
      </c>
      <c r="C59" s="726"/>
      <c r="D59" s="726"/>
      <c r="E59" s="726"/>
      <c r="F59" s="726"/>
      <c r="G59" s="726"/>
      <c r="H59" s="726"/>
      <c r="I59" s="726"/>
      <c r="J59" s="726"/>
      <c r="K59" s="726"/>
      <c r="L59" s="726"/>
      <c r="M59" s="726"/>
      <c r="N59" s="727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 x14ac:dyDescent="0.1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</sheetData>
  <sheetProtection password="CC13" sheet="1" objects="1" scenarios="1" formatCells="0" formatColumns="0" formatRows="0" selectLockedCells="1" autoFilter="0"/>
  <mergeCells count="25">
    <mergeCell ref="C8:N8"/>
    <mergeCell ref="C24:N24"/>
    <mergeCell ref="C41:N41"/>
    <mergeCell ref="C42:F42"/>
    <mergeCell ref="G42:J42"/>
    <mergeCell ref="K42:N42"/>
    <mergeCell ref="B59:N59"/>
    <mergeCell ref="K9:N9"/>
    <mergeCell ref="C25:F25"/>
    <mergeCell ref="G25:J25"/>
    <mergeCell ref="K25:N25"/>
    <mergeCell ref="C9:F9"/>
    <mergeCell ref="G9:J9"/>
    <mergeCell ref="G1:I1"/>
    <mergeCell ref="J1:O1"/>
    <mergeCell ref="A3:B3"/>
    <mergeCell ref="C3:F3"/>
    <mergeCell ref="A4:B4"/>
    <mergeCell ref="C4:F4"/>
    <mergeCell ref="I4:J4"/>
    <mergeCell ref="A5:B5"/>
    <mergeCell ref="C5:F5"/>
    <mergeCell ref="I5:J5"/>
    <mergeCell ref="A6:B6"/>
    <mergeCell ref="C6:F6"/>
  </mergeCells>
  <conditionalFormatting sqref="D22:E22">
    <cfRule type="beginsWith" dxfId="154" priority="53" operator="beginsWith" text="not">
      <formula>LEFT(D22,LEN("not"))="not"</formula>
    </cfRule>
    <cfRule type="beginsWith" dxfId="153" priority="54" operator="beginsWith" text="ok">
      <formula>LEFT(D22,LEN("ok"))="ok"</formula>
    </cfRule>
  </conditionalFormatting>
  <conditionalFormatting sqref="F22">
    <cfRule type="beginsWith" dxfId="152" priority="51" operator="beginsWith" text="not">
      <formula>LEFT(F22,LEN("not"))="not"</formula>
    </cfRule>
    <cfRule type="beginsWith" dxfId="151" priority="52" operator="beginsWith" text="ok">
      <formula>LEFT(F22,LEN("ok"))="ok"</formula>
    </cfRule>
  </conditionalFormatting>
  <conditionalFormatting sqref="C22">
    <cfRule type="beginsWith" dxfId="150" priority="49" operator="beginsWith" text="not">
      <formula>LEFT(C22,LEN("not"))="not"</formula>
    </cfRule>
    <cfRule type="beginsWith" dxfId="149" priority="50" operator="beginsWith" text="ok">
      <formula>LEFT(C22,LEN("ok"))="ok"</formula>
    </cfRule>
  </conditionalFormatting>
  <conditionalFormatting sqref="H22:I22">
    <cfRule type="beginsWith" dxfId="148" priority="47" operator="beginsWith" text="not">
      <formula>LEFT(H22,LEN("not"))="not"</formula>
    </cfRule>
    <cfRule type="beginsWith" dxfId="147" priority="48" operator="beginsWith" text="ok">
      <formula>LEFT(H22,LEN("ok"))="ok"</formula>
    </cfRule>
  </conditionalFormatting>
  <conditionalFormatting sqref="J22">
    <cfRule type="beginsWith" dxfId="146" priority="45" operator="beginsWith" text="not">
      <formula>LEFT(J22,LEN("not"))="not"</formula>
    </cfRule>
    <cfRule type="beginsWith" dxfId="145" priority="46" operator="beginsWith" text="ok">
      <formula>LEFT(J22,LEN("ok"))="ok"</formula>
    </cfRule>
  </conditionalFormatting>
  <conditionalFormatting sqref="G22">
    <cfRule type="beginsWith" dxfId="144" priority="43" operator="beginsWith" text="not">
      <formula>LEFT(G22,LEN("not"))="not"</formula>
    </cfRule>
    <cfRule type="beginsWith" dxfId="143" priority="44" operator="beginsWith" text="ok">
      <formula>LEFT(G22,LEN("ok"))="ok"</formula>
    </cfRule>
  </conditionalFormatting>
  <conditionalFormatting sqref="L22:M22">
    <cfRule type="beginsWith" dxfId="142" priority="41" operator="beginsWith" text="not">
      <formula>LEFT(L22,LEN("not"))="not"</formula>
    </cfRule>
    <cfRule type="beginsWith" dxfId="141" priority="42" operator="beginsWith" text="ok">
      <formula>LEFT(L22,LEN("ok"))="ok"</formula>
    </cfRule>
  </conditionalFormatting>
  <conditionalFormatting sqref="N22">
    <cfRule type="beginsWith" dxfId="140" priority="39" operator="beginsWith" text="not">
      <formula>LEFT(N22,LEN("not"))="not"</formula>
    </cfRule>
    <cfRule type="beginsWith" dxfId="139" priority="40" operator="beginsWith" text="ok">
      <formula>LEFT(N22,LEN("ok"))="ok"</formula>
    </cfRule>
  </conditionalFormatting>
  <conditionalFormatting sqref="K22">
    <cfRule type="beginsWith" dxfId="138" priority="37" operator="beginsWith" text="not">
      <formula>LEFT(K22,LEN("not"))="not"</formula>
    </cfRule>
    <cfRule type="beginsWith" dxfId="137" priority="38" operator="beginsWith" text="ok">
      <formula>LEFT(K22,LEN("ok"))="ok"</formula>
    </cfRule>
  </conditionalFormatting>
  <conditionalFormatting sqref="D38:E38">
    <cfRule type="beginsWith" dxfId="136" priority="35" operator="beginsWith" text="not">
      <formula>LEFT(D38,LEN("not"))="not"</formula>
    </cfRule>
    <cfRule type="beginsWith" dxfId="135" priority="36" operator="beginsWith" text="ok">
      <formula>LEFT(D38,LEN("ok"))="ok"</formula>
    </cfRule>
  </conditionalFormatting>
  <conditionalFormatting sqref="F38">
    <cfRule type="beginsWith" dxfId="134" priority="33" operator="beginsWith" text="not">
      <formula>LEFT(F38,LEN("not"))="not"</formula>
    </cfRule>
    <cfRule type="beginsWith" dxfId="133" priority="34" operator="beginsWith" text="ok">
      <formula>LEFT(F38,LEN("ok"))="ok"</formula>
    </cfRule>
  </conditionalFormatting>
  <conditionalFormatting sqref="C38">
    <cfRule type="beginsWith" dxfId="132" priority="31" operator="beginsWith" text="not">
      <formula>LEFT(C38,LEN("not"))="not"</formula>
    </cfRule>
    <cfRule type="beginsWith" dxfId="131" priority="32" operator="beginsWith" text="ok">
      <formula>LEFT(C38,LEN("ok"))="ok"</formula>
    </cfRule>
  </conditionalFormatting>
  <conditionalFormatting sqref="H38:I38">
    <cfRule type="beginsWith" dxfId="130" priority="29" operator="beginsWith" text="not">
      <formula>LEFT(H38,LEN("not"))="not"</formula>
    </cfRule>
    <cfRule type="beginsWith" dxfId="129" priority="30" operator="beginsWith" text="ok">
      <formula>LEFT(H38,LEN("ok"))="ok"</formula>
    </cfRule>
  </conditionalFormatting>
  <conditionalFormatting sqref="J38">
    <cfRule type="beginsWith" dxfId="128" priority="27" operator="beginsWith" text="not">
      <formula>LEFT(J38,LEN("not"))="not"</formula>
    </cfRule>
    <cfRule type="beginsWith" dxfId="127" priority="28" operator="beginsWith" text="ok">
      <formula>LEFT(J38,LEN("ok"))="ok"</formula>
    </cfRule>
  </conditionalFormatting>
  <conditionalFormatting sqref="G38">
    <cfRule type="beginsWith" dxfId="126" priority="25" operator="beginsWith" text="not">
      <formula>LEFT(G38,LEN("not"))="not"</formula>
    </cfRule>
    <cfRule type="beginsWith" dxfId="125" priority="26" operator="beginsWith" text="ok">
      <formula>LEFT(G38,LEN("ok"))="ok"</formula>
    </cfRule>
  </conditionalFormatting>
  <conditionalFormatting sqref="L38:M38">
    <cfRule type="beginsWith" dxfId="124" priority="23" operator="beginsWith" text="not">
      <formula>LEFT(L38,LEN("not"))="not"</formula>
    </cfRule>
    <cfRule type="beginsWith" dxfId="123" priority="24" operator="beginsWith" text="ok">
      <formula>LEFT(L38,LEN("ok"))="ok"</formula>
    </cfRule>
  </conditionalFormatting>
  <conditionalFormatting sqref="N38">
    <cfRule type="beginsWith" dxfId="122" priority="21" operator="beginsWith" text="not">
      <formula>LEFT(N38,LEN("not"))="not"</formula>
    </cfRule>
    <cfRule type="beginsWith" dxfId="121" priority="22" operator="beginsWith" text="ok">
      <formula>LEFT(N38,LEN("ok"))="ok"</formula>
    </cfRule>
  </conditionalFormatting>
  <conditionalFormatting sqref="K38">
    <cfRule type="beginsWith" dxfId="120" priority="19" operator="beginsWith" text="not">
      <formula>LEFT(K38,LEN("not"))="not"</formula>
    </cfRule>
    <cfRule type="beginsWith" dxfId="119" priority="20" operator="beginsWith" text="ok">
      <formula>LEFT(K38,LEN("ok"))="ok"</formula>
    </cfRule>
  </conditionalFormatting>
  <conditionalFormatting sqref="D55:E55">
    <cfRule type="beginsWith" dxfId="118" priority="17" operator="beginsWith" text="not">
      <formula>LEFT(D55,LEN("not"))="not"</formula>
    </cfRule>
    <cfRule type="beginsWith" dxfId="117" priority="18" operator="beginsWith" text="ok">
      <formula>LEFT(D55,LEN("ok"))="ok"</formula>
    </cfRule>
  </conditionalFormatting>
  <conditionalFormatting sqref="F55">
    <cfRule type="beginsWith" dxfId="116" priority="15" operator="beginsWith" text="not">
      <formula>LEFT(F55,LEN("not"))="not"</formula>
    </cfRule>
    <cfRule type="beginsWith" dxfId="115" priority="16" operator="beginsWith" text="ok">
      <formula>LEFT(F55,LEN("ok"))="ok"</formula>
    </cfRule>
  </conditionalFormatting>
  <conditionalFormatting sqref="C55">
    <cfRule type="beginsWith" dxfId="114" priority="13" operator="beginsWith" text="not">
      <formula>LEFT(C55,LEN("not"))="not"</formula>
    </cfRule>
    <cfRule type="beginsWith" dxfId="113" priority="14" operator="beginsWith" text="ok">
      <formula>LEFT(C55,LEN("ok"))="ok"</formula>
    </cfRule>
  </conditionalFormatting>
  <conditionalFormatting sqref="H55:I55">
    <cfRule type="beginsWith" dxfId="112" priority="11" operator="beginsWith" text="not">
      <formula>LEFT(H55,LEN("not"))="not"</formula>
    </cfRule>
    <cfRule type="beginsWith" dxfId="111" priority="12" operator="beginsWith" text="ok">
      <formula>LEFT(H55,LEN("ok"))="ok"</formula>
    </cfRule>
  </conditionalFormatting>
  <conditionalFormatting sqref="J55">
    <cfRule type="beginsWith" dxfId="110" priority="9" operator="beginsWith" text="not">
      <formula>LEFT(J55,LEN("not"))="not"</formula>
    </cfRule>
    <cfRule type="beginsWith" dxfId="109" priority="10" operator="beginsWith" text="ok">
      <formula>LEFT(J55,LEN("ok"))="ok"</formula>
    </cfRule>
  </conditionalFormatting>
  <conditionalFormatting sqref="G55">
    <cfRule type="beginsWith" dxfId="108" priority="7" operator="beginsWith" text="not">
      <formula>LEFT(G55,LEN("not"))="not"</formula>
    </cfRule>
    <cfRule type="beginsWith" dxfId="107" priority="8" operator="beginsWith" text="ok">
      <formula>LEFT(G55,LEN("ok"))="ok"</formula>
    </cfRule>
  </conditionalFormatting>
  <conditionalFormatting sqref="L55:M55">
    <cfRule type="beginsWith" dxfId="106" priority="5" operator="beginsWith" text="not">
      <formula>LEFT(L55,LEN("not"))="not"</formula>
    </cfRule>
    <cfRule type="beginsWith" dxfId="105" priority="6" operator="beginsWith" text="ok">
      <formula>LEFT(L55,LEN("ok"))="ok"</formula>
    </cfRule>
  </conditionalFormatting>
  <conditionalFormatting sqref="N55">
    <cfRule type="beginsWith" dxfId="104" priority="3" operator="beginsWith" text="not">
      <formula>LEFT(N55,LEN("not"))="not"</formula>
    </cfRule>
    <cfRule type="beginsWith" dxfId="103" priority="4" operator="beginsWith" text="ok">
      <formula>LEFT(N55,LEN("ok"))="ok"</formula>
    </cfRule>
  </conditionalFormatting>
  <conditionalFormatting sqref="K55">
    <cfRule type="beginsWith" dxfId="102" priority="1" operator="beginsWith" text="not">
      <formula>LEFT(K55,LEN("not"))="not"</formula>
    </cfRule>
    <cfRule type="beginsWith" dxfId="101" priority="2" operator="beginsWith" text="ok">
      <formula>LEFT(K55,LEN("ok"))="ok"</formula>
    </cfRule>
  </conditionalFormatting>
  <dataValidations count="1">
    <dataValidation type="list" allowBlank="1" showInputMessage="1" showErrorMessage="1" sqref="C6:F6" xr:uid="{00000000-0002-0000-0700-000000000000}">
      <formula1>Mehrkomponenten</formula1>
    </dataValidation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154"/>
  <sheetViews>
    <sheetView zoomScaleNormal="100" workbookViewId="0">
      <selection activeCell="E1" sqref="E1:G1"/>
    </sheetView>
  </sheetViews>
  <sheetFormatPr baseColWidth="10" defaultColWidth="11.5" defaultRowHeight="13" x14ac:dyDescent="0.15"/>
  <cols>
    <col min="1" max="1" width="3.6640625" style="1" customWidth="1"/>
    <col min="2" max="2" width="35.33203125" customWidth="1"/>
    <col min="3" max="3" width="20.6640625" style="1" customWidth="1"/>
    <col min="4" max="4" width="20.6640625" customWidth="1"/>
    <col min="5" max="5" width="23" customWidth="1"/>
    <col min="6" max="6" width="20.6640625" customWidth="1"/>
    <col min="7" max="7" width="20.6640625" style="2" customWidth="1"/>
  </cols>
  <sheetData>
    <row r="1" spans="1:20" s="7" customFormat="1" ht="17.25" customHeight="1" x14ac:dyDescent="0.2">
      <c r="A1" s="16"/>
      <c r="B1" s="103"/>
      <c r="C1" s="665" t="str">
        <f>Product!G1</f>
        <v>COMMISSION DECISION</v>
      </c>
      <c r="D1" s="666"/>
      <c r="E1" s="735">
        <f>Product!I1</f>
        <v>0</v>
      </c>
      <c r="F1" s="736"/>
      <c r="G1" s="737"/>
      <c r="H1" s="18"/>
      <c r="I1" s="18"/>
      <c r="J1" s="18"/>
      <c r="K1" s="18"/>
      <c r="L1" s="18"/>
      <c r="M1" s="18"/>
      <c r="N1" s="18"/>
      <c r="O1" s="9"/>
      <c r="P1" s="9"/>
      <c r="Q1" s="9"/>
      <c r="R1" s="9"/>
      <c r="S1" s="9"/>
      <c r="T1" s="9"/>
    </row>
    <row r="2" spans="1:20" s="7" customFormat="1" ht="16" x14ac:dyDescent="0.2">
      <c r="A2" s="23"/>
      <c r="B2" s="46"/>
      <c r="C2" s="46"/>
      <c r="D2" s="23"/>
      <c r="E2" s="49"/>
      <c r="F2" s="296" t="str">
        <f>Product!I2</f>
        <v>Template March 2020</v>
      </c>
      <c r="G2" s="123"/>
      <c r="H2" s="18"/>
      <c r="I2" s="18"/>
      <c r="J2" s="18"/>
      <c r="K2" s="18"/>
      <c r="L2" s="18"/>
      <c r="M2" s="18"/>
      <c r="N2" s="18"/>
      <c r="O2" s="9"/>
      <c r="P2" s="9"/>
      <c r="Q2" s="9"/>
      <c r="R2" s="9"/>
      <c r="S2" s="9"/>
      <c r="T2" s="9"/>
    </row>
    <row r="3" spans="1:20" s="7" customFormat="1" ht="16" x14ac:dyDescent="0.2">
      <c r="A3" s="670" t="str">
        <f>Product!A4</f>
        <v>Contract number:</v>
      </c>
      <c r="B3" s="671"/>
      <c r="C3" s="696">
        <f>Product!C4:E4</f>
        <v>0</v>
      </c>
      <c r="D3" s="697"/>
      <c r="E3" s="698"/>
      <c r="F3" s="197" t="str">
        <f>Product!H4</f>
        <v>Date:</v>
      </c>
      <c r="G3" s="105">
        <f>Product!I4</f>
        <v>0</v>
      </c>
      <c r="H3" s="18"/>
      <c r="I3" s="18"/>
      <c r="J3" s="18"/>
      <c r="K3" s="18"/>
      <c r="L3" s="18"/>
      <c r="M3" s="18"/>
      <c r="N3" s="18"/>
      <c r="O3" s="9"/>
      <c r="P3" s="9"/>
      <c r="Q3" s="9"/>
      <c r="R3" s="9"/>
      <c r="S3" s="9"/>
      <c r="T3" s="9"/>
    </row>
    <row r="4" spans="1:20" s="7" customFormat="1" ht="16" x14ac:dyDescent="0.2">
      <c r="A4" s="670" t="str">
        <f>Product!A5</f>
        <v>Licence Holder:</v>
      </c>
      <c r="B4" s="671"/>
      <c r="C4" s="696">
        <f>Product!C5:E5</f>
        <v>0</v>
      </c>
      <c r="D4" s="697"/>
      <c r="E4" s="698"/>
      <c r="F4" s="197" t="str">
        <f>Product!H5</f>
        <v>Version:</v>
      </c>
      <c r="G4" s="106">
        <f>Product!I5</f>
        <v>0</v>
      </c>
      <c r="H4" s="18"/>
      <c r="I4" s="18"/>
      <c r="J4" s="18"/>
      <c r="K4" s="18"/>
      <c r="L4" s="18"/>
      <c r="M4" s="18"/>
      <c r="N4" s="18"/>
      <c r="O4" s="9"/>
      <c r="P4" s="9"/>
      <c r="Q4" s="9"/>
      <c r="R4" s="9"/>
      <c r="S4" s="9"/>
      <c r="T4" s="9"/>
    </row>
    <row r="5" spans="1:20" s="7" customFormat="1" ht="16" x14ac:dyDescent="0.2">
      <c r="A5" s="670" t="str">
        <f>Product!A6</f>
        <v>Distributor / Product name (Country):</v>
      </c>
      <c r="B5" s="671"/>
      <c r="C5" s="696">
        <f>Product!C6:E6</f>
        <v>0</v>
      </c>
      <c r="D5" s="697"/>
      <c r="E5" s="697"/>
      <c r="F5" s="104"/>
      <c r="G5" s="104"/>
      <c r="H5" s="18"/>
      <c r="I5" s="18"/>
      <c r="J5" s="18"/>
      <c r="K5" s="18"/>
      <c r="L5" s="18"/>
      <c r="M5" s="18"/>
      <c r="N5" s="18"/>
      <c r="O5" s="9"/>
      <c r="P5" s="9"/>
      <c r="Q5" s="9"/>
      <c r="R5" s="9"/>
      <c r="S5" s="9"/>
      <c r="T5" s="9"/>
    </row>
    <row r="6" spans="1:20" s="7" customFormat="1" ht="24" x14ac:dyDescent="0.2">
      <c r="A6" s="670" t="str">
        <f>Product!A22</f>
        <v>Type of product:</v>
      </c>
      <c r="B6" s="671"/>
      <c r="C6" s="717">
        <f>Product!C22</f>
        <v>0</v>
      </c>
      <c r="D6" s="717"/>
      <c r="E6" s="124" t="str">
        <f>IF(Product!$C$2=Languages!A3,Languages!A130,Languages!B130)</f>
        <v>production period
from</v>
      </c>
      <c r="F6" s="219"/>
      <c r="G6" s="125"/>
      <c r="H6" s="18"/>
      <c r="I6" s="18"/>
      <c r="J6" s="18"/>
      <c r="K6" s="18"/>
      <c r="L6" s="18"/>
      <c r="M6" s="18"/>
      <c r="N6" s="18"/>
      <c r="O6" s="9"/>
      <c r="P6" s="9"/>
      <c r="Q6" s="9"/>
      <c r="R6" s="9"/>
      <c r="S6" s="9"/>
      <c r="T6" s="9"/>
    </row>
    <row r="7" spans="1:20" ht="24" customHeight="1" x14ac:dyDescent="0.2">
      <c r="A7" s="738" t="str">
        <f>IF(Product!$C$2=Languages!A3,Languages!A124,Languages!B124)</f>
        <v>Production volume 
(requested formulation) in  t</v>
      </c>
      <c r="B7" s="739" t="str">
        <f>IF(Product!$C$2=Languages!A9,Languages!A139,Languages!B139)</f>
        <v>Primary packaging and product residue in normal conditions of use (g) (=m2)</v>
      </c>
      <c r="C7" s="142"/>
      <c r="D7" s="18"/>
      <c r="E7" s="126" t="str">
        <f>IF(Product!$C$2=Languages!A3,Languages!A131,Languages!B131)</f>
        <v>to</v>
      </c>
      <c r="F7" s="220"/>
      <c r="G7" s="125"/>
      <c r="H7" s="18"/>
      <c r="I7" s="18"/>
      <c r="J7" s="18"/>
      <c r="K7" s="18"/>
      <c r="L7" s="18"/>
      <c r="M7" s="18"/>
      <c r="N7" s="18"/>
      <c r="O7" s="9"/>
      <c r="P7" s="9"/>
      <c r="Q7" s="9"/>
      <c r="R7" s="9"/>
      <c r="S7" s="9"/>
      <c r="T7" s="9"/>
    </row>
    <row r="8" spans="1:20" s="7" customFormat="1" ht="42" customHeight="1" x14ac:dyDescent="0.2">
      <c r="A8" s="101" t="str">
        <f>Product!A11</f>
        <v>Distributor / Product name (Country):</v>
      </c>
      <c r="B8" s="127" t="str">
        <f>'Ingoing Substances'!B10</f>
        <v>Ingoing substance 3)</v>
      </c>
      <c r="C8" s="128" t="str">
        <f>'Ingoing Substances'!I10</f>
        <v>weight in the formulation in</v>
      </c>
      <c r="D8" s="124" t="str">
        <f>B8</f>
        <v>Ingoing substance 3)</v>
      </c>
      <c r="E8" s="124" t="str">
        <f>IF(Product!$C$2=Languages!A3,Languages!A127,Languages!B127)</f>
        <v>Verification</v>
      </c>
      <c r="F8" s="124" t="str">
        <f>IF(Product!$C$2=Languages!A3,Languages!A121,Languages!B121)</f>
        <v>Proportion palm/pamkernel oil (in %)</v>
      </c>
      <c r="G8" s="124" t="str">
        <f>IF(Product!$C$2=Languages!A3,Languages!A125,Languages!B125)</f>
        <v>Amount 
of palm/palm kernel oil
(in  t) (Book&amp;Claim)</v>
      </c>
      <c r="H8" s="18"/>
      <c r="I8" s="18"/>
      <c r="J8" s="18"/>
      <c r="K8" s="18"/>
      <c r="L8" s="18"/>
      <c r="M8" s="18"/>
      <c r="N8" s="18"/>
      <c r="O8" s="9"/>
      <c r="P8" s="9"/>
      <c r="Q8" s="9"/>
      <c r="R8" s="9"/>
      <c r="S8" s="9"/>
      <c r="T8" s="9"/>
    </row>
    <row r="9" spans="1:20" s="7" customFormat="1" ht="36" x14ac:dyDescent="0.2">
      <c r="A9" s="129" t="str">
        <f>Product!A12</f>
        <v>Distributor / Product name (Country):</v>
      </c>
      <c r="B9" s="129" t="str">
        <f>'Ingoing Substances'!B11</f>
        <v>Name (IUPAC)</v>
      </c>
      <c r="C9" s="99" t="str">
        <f>'Ingoing Substances'!I11</f>
        <v>mass-% (=g/100g product)</v>
      </c>
      <c r="D9" s="122" t="str">
        <f>IF(Product!$C$2=Languages!A3,Languages!A122,Languages!B122)</f>
        <v>Specification</v>
      </c>
      <c r="E9" s="122" t="str">
        <f>IF(Product!$C$2=Languages!A3,Languages!A134,Languages!B134)</f>
        <v>(please select)</v>
      </c>
      <c r="F9" s="199" t="str">
        <f>IF(Product!$C$2=Languages!A3,Languages!A123,Languages!B123)</f>
        <v>(=Declaration Manufacturer of the product)</v>
      </c>
      <c r="G9" s="126" t="str">
        <f>IF(Product!$C$2=Languages!A3,Languages!A126,Languages!B126)</f>
        <v>or of raw material
(in  t) (segregated/Mass-Balance)</v>
      </c>
      <c r="H9" s="18"/>
      <c r="I9" s="18"/>
      <c r="J9" s="18"/>
      <c r="K9" s="18"/>
      <c r="L9" s="18"/>
      <c r="M9" s="18"/>
      <c r="N9" s="18"/>
      <c r="O9" s="9"/>
      <c r="P9" s="9"/>
      <c r="Q9" s="9"/>
      <c r="R9" s="9"/>
      <c r="S9" s="9"/>
      <c r="T9" s="9"/>
    </row>
    <row r="10" spans="1:20" ht="12.75" customHeight="1" x14ac:dyDescent="0.2">
      <c r="A10" s="130">
        <v>1</v>
      </c>
      <c r="B10" s="148"/>
      <c r="C10" s="131"/>
      <c r="D10" s="132"/>
      <c r="E10" s="133"/>
      <c r="F10" s="133"/>
      <c r="G10" s="134"/>
      <c r="H10" s="54"/>
      <c r="I10" s="18"/>
      <c r="J10" s="18"/>
      <c r="K10" s="18"/>
      <c r="L10" s="18"/>
      <c r="M10" s="18"/>
      <c r="N10" s="18"/>
      <c r="O10" s="9"/>
      <c r="P10" s="9"/>
      <c r="Q10" s="9"/>
      <c r="R10" s="9"/>
      <c r="S10" s="9"/>
      <c r="T10" s="9"/>
    </row>
    <row r="11" spans="1:20" ht="16" x14ac:dyDescent="0.2">
      <c r="A11" s="130">
        <v>2</v>
      </c>
      <c r="B11" s="148" t="str">
        <f>IF('Ingoing Substances'!P13="Y",'Ingoing Substances'!B13,"")</f>
        <v/>
      </c>
      <c r="C11" s="143" t="str">
        <f>IF('Ingoing Substances'!P13="Y",'Ingoing Substances'!I13,"")</f>
        <v/>
      </c>
      <c r="D11" s="143" t="str">
        <f>IF('Ingoing Substances'!P13="Y",'Ingoing Substances'!H13,"")</f>
        <v/>
      </c>
      <c r="E11" s="144"/>
      <c r="F11" s="347"/>
      <c r="G11" s="135" t="str">
        <f>IF(OR(E11=Languages!$A$128,E11=Languages!$B$128),($C$7*C11*F11/100)/100,IF(OR(E11=Languages!$A$129,E11=Languages!$B$129),($C$7*(C11/('Ingoing Substances'!E13/100)))/100,""))</f>
        <v/>
      </c>
      <c r="H11" s="54"/>
      <c r="I11" s="18"/>
      <c r="J11" s="18"/>
      <c r="K11" s="18"/>
      <c r="L11" s="18"/>
      <c r="M11" s="18"/>
      <c r="N11" s="18"/>
      <c r="O11" s="9"/>
      <c r="P11" s="9"/>
      <c r="Q11" s="9"/>
      <c r="R11" s="9"/>
      <c r="S11" s="9"/>
      <c r="T11" s="9"/>
    </row>
    <row r="12" spans="1:20" ht="16" x14ac:dyDescent="0.2">
      <c r="A12" s="130">
        <v>3</v>
      </c>
      <c r="B12" s="148" t="str">
        <f>IF('Ingoing Substances'!P14="Y",'Ingoing Substances'!B14,"")</f>
        <v/>
      </c>
      <c r="C12" s="143" t="str">
        <f>IF('Ingoing Substances'!P14="Y",'Ingoing Substances'!I14,"")</f>
        <v/>
      </c>
      <c r="D12" s="143" t="str">
        <f>IF('Ingoing Substances'!P14="Y",'Ingoing Substances'!H14,"")</f>
        <v/>
      </c>
      <c r="E12" s="144"/>
      <c r="F12" s="347"/>
      <c r="G12" s="135" t="str">
        <f>IF(OR(E12=Languages!$A$128,E12=Languages!$B$128),($C$7*C12*F12/100)/100,IF(OR(E12=Languages!$A$129,E12=Languages!$B$129),($C$7*(C12/('Ingoing Substances'!E14/100)))/100,""))</f>
        <v/>
      </c>
      <c r="H12" s="54"/>
      <c r="I12" s="18"/>
      <c r="J12" s="18"/>
      <c r="K12" s="18"/>
      <c r="L12" s="18"/>
      <c r="M12" s="18"/>
      <c r="N12" s="18"/>
      <c r="O12" s="9"/>
      <c r="P12" s="9"/>
      <c r="Q12" s="9"/>
      <c r="R12" s="9"/>
      <c r="S12" s="9"/>
      <c r="T12" s="9"/>
    </row>
    <row r="13" spans="1:20" ht="16" x14ac:dyDescent="0.2">
      <c r="A13" s="130">
        <v>4</v>
      </c>
      <c r="B13" s="148" t="str">
        <f>IF('Ingoing Substances'!P15="Y",'Ingoing Substances'!B15,"")</f>
        <v/>
      </c>
      <c r="C13" s="143" t="str">
        <f>IF('Ingoing Substances'!P15="Y",'Ingoing Substances'!I15,"")</f>
        <v/>
      </c>
      <c r="D13" s="143" t="str">
        <f>IF('Ingoing Substances'!P15="Y",'Ingoing Substances'!H15,"")</f>
        <v/>
      </c>
      <c r="E13" s="144"/>
      <c r="F13" s="347"/>
      <c r="G13" s="135" t="str">
        <f>IF(OR(E13=Languages!$A$128,E13=Languages!$B$128),($C$7*C13*F13/100)/100,IF(OR(E13=Languages!$A$129,E13=Languages!$B$129),($C$7*(C13/('Ingoing Substances'!E15/100)))/100,""))</f>
        <v/>
      </c>
      <c r="H13" s="54"/>
      <c r="I13" s="18"/>
      <c r="J13" s="18"/>
      <c r="K13" s="18"/>
      <c r="L13" s="18"/>
      <c r="M13" s="18"/>
      <c r="N13" s="18"/>
      <c r="O13" s="9"/>
      <c r="P13" s="9"/>
      <c r="Q13" s="9"/>
      <c r="R13" s="9"/>
      <c r="S13" s="9"/>
      <c r="T13" s="9"/>
    </row>
    <row r="14" spans="1:20" ht="16" x14ac:dyDescent="0.2">
      <c r="A14" s="130">
        <v>5</v>
      </c>
      <c r="B14" s="148" t="str">
        <f>IF('Ingoing Substances'!P16="Y",'Ingoing Substances'!B16,"")</f>
        <v/>
      </c>
      <c r="C14" s="143" t="str">
        <f>IF('Ingoing Substances'!P16="Y",'Ingoing Substances'!I16,"")</f>
        <v/>
      </c>
      <c r="D14" s="143" t="str">
        <f>IF('Ingoing Substances'!P16="Y",'Ingoing Substances'!H16,"")</f>
        <v/>
      </c>
      <c r="E14" s="144"/>
      <c r="F14" s="347"/>
      <c r="G14" s="135" t="str">
        <f>IF(OR(E14=Languages!$A$128,E14=Languages!$B$128),($C$7*C14*F14/100)/100,IF(OR(E14=Languages!$A$129,E14=Languages!$B$129),($C$7*(C14/('Ingoing Substances'!E16/100)))/100,""))</f>
        <v/>
      </c>
      <c r="H14" s="54"/>
      <c r="I14" s="18"/>
      <c r="J14" s="18"/>
      <c r="K14" s="18"/>
      <c r="L14" s="18"/>
      <c r="M14" s="18"/>
      <c r="N14" s="18"/>
      <c r="O14" s="9"/>
      <c r="P14" s="9"/>
      <c r="Q14" s="9"/>
      <c r="R14" s="9"/>
      <c r="S14" s="9"/>
      <c r="T14" s="9"/>
    </row>
    <row r="15" spans="1:20" ht="16" x14ac:dyDescent="0.2">
      <c r="A15" s="130">
        <v>6</v>
      </c>
      <c r="B15" s="148" t="str">
        <f>IF('Ingoing Substances'!P17="Y",'Ingoing Substances'!B17,"")</f>
        <v/>
      </c>
      <c r="C15" s="143" t="str">
        <f>IF('Ingoing Substances'!P17="Y",'Ingoing Substances'!I17,"")</f>
        <v/>
      </c>
      <c r="D15" s="143" t="str">
        <f>IF('Ingoing Substances'!P17="Y",'Ingoing Substances'!H17,"")</f>
        <v/>
      </c>
      <c r="E15" s="144"/>
      <c r="F15" s="347"/>
      <c r="G15" s="135" t="str">
        <f>IF(OR(E15=Languages!$A$128,E15=Languages!$B$128),($C$7*C15*F15/100)/100,IF(OR(E15=Languages!$A$129,E15=Languages!$B$129),($C$7*(C15/('Ingoing Substances'!E17/100)))/100,""))</f>
        <v/>
      </c>
      <c r="H15" s="54"/>
      <c r="I15" s="18"/>
      <c r="J15" s="18"/>
      <c r="K15" s="18"/>
      <c r="L15" s="18"/>
      <c r="M15" s="18"/>
      <c r="N15" s="18"/>
      <c r="O15" s="9"/>
      <c r="P15" s="9"/>
      <c r="Q15" s="9"/>
      <c r="R15" s="9"/>
      <c r="S15" s="9"/>
      <c r="T15" s="9"/>
    </row>
    <row r="16" spans="1:20" ht="16" x14ac:dyDescent="0.2">
      <c r="A16" s="130">
        <v>7</v>
      </c>
      <c r="B16" s="148" t="str">
        <f>IF('Ingoing Substances'!P18="Y",'Ingoing Substances'!B18,"")</f>
        <v/>
      </c>
      <c r="C16" s="143" t="str">
        <f>IF('Ingoing Substances'!P18="Y",'Ingoing Substances'!I18,"")</f>
        <v/>
      </c>
      <c r="D16" s="143" t="str">
        <f>IF('Ingoing Substances'!P18="Y",'Ingoing Substances'!H18,"")</f>
        <v/>
      </c>
      <c r="E16" s="144"/>
      <c r="F16" s="347"/>
      <c r="G16" s="135" t="str">
        <f>IF(OR(E16=Languages!$A$128,E16=Languages!$B$128),($C$7*C16*F16/100)/100,IF(OR(E16=Languages!$A$129,E16=Languages!$B$129),($C$7*(C16/('Ingoing Substances'!E18/100)))/100,""))</f>
        <v/>
      </c>
      <c r="H16" s="54"/>
      <c r="I16" s="18"/>
      <c r="J16" s="18"/>
      <c r="K16" s="18"/>
      <c r="L16" s="18"/>
      <c r="M16" s="18"/>
      <c r="N16" s="18"/>
      <c r="O16" s="9"/>
      <c r="P16" s="9"/>
      <c r="Q16" s="9"/>
      <c r="R16" s="9"/>
      <c r="S16" s="9"/>
      <c r="T16" s="9"/>
    </row>
    <row r="17" spans="1:20" ht="16" x14ac:dyDescent="0.2">
      <c r="A17" s="130">
        <v>8</v>
      </c>
      <c r="B17" s="148" t="str">
        <f>IF('Ingoing Substances'!P19="Y",'Ingoing Substances'!B19,"")</f>
        <v/>
      </c>
      <c r="C17" s="143" t="str">
        <f>IF('Ingoing Substances'!P19="Y",'Ingoing Substances'!I19,"")</f>
        <v/>
      </c>
      <c r="D17" s="143" t="str">
        <f>IF('Ingoing Substances'!P19="Y",'Ingoing Substances'!H19,"")</f>
        <v/>
      </c>
      <c r="E17" s="144"/>
      <c r="F17" s="347"/>
      <c r="G17" s="135" t="str">
        <f>IF(OR(E17=Languages!$A$128,E17=Languages!$B$128),($C$7*C17*F17/100)/100,IF(OR(E17=Languages!$A$129,E17=Languages!$B$129),($C$7*(C17/('Ingoing Substances'!E19/100)))/100,""))</f>
        <v/>
      </c>
      <c r="H17" s="54"/>
      <c r="I17" s="18"/>
      <c r="J17" s="18"/>
      <c r="K17" s="18"/>
      <c r="L17" s="18"/>
      <c r="M17" s="18"/>
      <c r="N17" s="18"/>
      <c r="O17" s="9"/>
      <c r="P17" s="9"/>
      <c r="Q17" s="9"/>
      <c r="R17" s="9"/>
      <c r="S17" s="9"/>
      <c r="T17" s="9"/>
    </row>
    <row r="18" spans="1:20" ht="16" x14ac:dyDescent="0.2">
      <c r="A18" s="130">
        <v>9</v>
      </c>
      <c r="B18" s="148" t="str">
        <f>IF('Ingoing Substances'!P20="Y",'Ingoing Substances'!B20,"")</f>
        <v/>
      </c>
      <c r="C18" s="143" t="str">
        <f>IF('Ingoing Substances'!P20="Y",'Ingoing Substances'!I20,"")</f>
        <v/>
      </c>
      <c r="D18" s="143" t="str">
        <f>IF('Ingoing Substances'!P20="Y",'Ingoing Substances'!H20,"")</f>
        <v/>
      </c>
      <c r="E18" s="144"/>
      <c r="F18" s="347"/>
      <c r="G18" s="135" t="str">
        <f>IF(OR(E18=Languages!$A$128,E18=Languages!$B$128),($C$7*C18*F18/100)/100,IF(OR(E18=Languages!$A$129,E18=Languages!$B$129),($C$7*(C18/('Ingoing Substances'!E20/100)))/100,""))</f>
        <v/>
      </c>
      <c r="H18" s="54"/>
      <c r="I18" s="18"/>
      <c r="J18" s="18"/>
      <c r="K18" s="18"/>
      <c r="L18" s="18"/>
      <c r="M18" s="18"/>
      <c r="N18" s="18"/>
      <c r="O18" s="9"/>
      <c r="P18" s="9"/>
      <c r="Q18" s="9"/>
      <c r="R18" s="9"/>
      <c r="S18" s="9"/>
      <c r="T18" s="9"/>
    </row>
    <row r="19" spans="1:20" ht="16" x14ac:dyDescent="0.2">
      <c r="A19" s="130">
        <v>10</v>
      </c>
      <c r="B19" s="148" t="str">
        <f>IF('Ingoing Substances'!P21="Y",'Ingoing Substances'!B21,"")</f>
        <v/>
      </c>
      <c r="C19" s="143" t="str">
        <f>IF('Ingoing Substances'!P21="Y",'Ingoing Substances'!I21,"")</f>
        <v/>
      </c>
      <c r="D19" s="143" t="str">
        <f>IF('Ingoing Substances'!P21="Y",'Ingoing Substances'!H21,"")</f>
        <v/>
      </c>
      <c r="E19" s="144"/>
      <c r="F19" s="347"/>
      <c r="G19" s="135" t="str">
        <f>IF(OR(E19=Languages!$A$128,E19=Languages!$B$128),($C$7*C19*F19/100)/100,IF(OR(E19=Languages!$A$129,E19=Languages!$B$129),($C$7*(C19/('Ingoing Substances'!E21/100)))/100,""))</f>
        <v/>
      </c>
      <c r="H19" s="54"/>
      <c r="I19" s="18"/>
      <c r="J19" s="18"/>
      <c r="K19" s="18"/>
      <c r="L19" s="18"/>
      <c r="M19" s="18"/>
      <c r="N19" s="18"/>
      <c r="O19" s="9"/>
      <c r="P19" s="9"/>
      <c r="Q19" s="9"/>
      <c r="R19" s="9"/>
      <c r="S19" s="9"/>
      <c r="T19" s="9"/>
    </row>
    <row r="20" spans="1:20" ht="16" x14ac:dyDescent="0.2">
      <c r="A20" s="130">
        <v>11</v>
      </c>
      <c r="B20" s="148" t="str">
        <f>IF('Ingoing Substances'!P22="Y",'Ingoing Substances'!B22,"")</f>
        <v/>
      </c>
      <c r="C20" s="143" t="str">
        <f>IF('Ingoing Substances'!P22="Y",'Ingoing Substances'!I22,"")</f>
        <v/>
      </c>
      <c r="D20" s="143" t="str">
        <f>IF('Ingoing Substances'!P22="Y",'Ingoing Substances'!H22,"")</f>
        <v/>
      </c>
      <c r="E20" s="144"/>
      <c r="F20" s="347"/>
      <c r="G20" s="135" t="str">
        <f>IF(OR(E20=Languages!$A$128,E20=Languages!$B$128),($C$7*C20*F20/100)/100,IF(OR(E20=Languages!$A$129,E20=Languages!$B$129),($C$7*(C20/('Ingoing Substances'!E22/100)))/100,""))</f>
        <v/>
      </c>
      <c r="H20" s="54"/>
      <c r="I20" s="18"/>
      <c r="J20" s="18"/>
      <c r="K20" s="18"/>
      <c r="L20" s="18"/>
      <c r="M20" s="18"/>
      <c r="N20" s="18"/>
      <c r="O20" s="9"/>
      <c r="P20" s="9"/>
      <c r="Q20" s="9"/>
      <c r="R20" s="9"/>
      <c r="S20" s="9"/>
      <c r="T20" s="9"/>
    </row>
    <row r="21" spans="1:20" ht="16" x14ac:dyDescent="0.2">
      <c r="A21" s="130">
        <v>12</v>
      </c>
      <c r="B21" s="148" t="str">
        <f>IF('Ingoing Substances'!P23="Y",'Ingoing Substances'!B23,"")</f>
        <v/>
      </c>
      <c r="C21" s="143" t="str">
        <f>IF('Ingoing Substances'!P23="Y",'Ingoing Substances'!I23,"")</f>
        <v/>
      </c>
      <c r="D21" s="143" t="str">
        <f>IF('Ingoing Substances'!P23="Y",'Ingoing Substances'!H23,"")</f>
        <v/>
      </c>
      <c r="E21" s="144"/>
      <c r="F21" s="347"/>
      <c r="G21" s="135" t="str">
        <f>IF(OR(E21=Languages!$A$128,E21=Languages!$B$128),($C$7*C21*F21/100)/100,IF(OR(E21=Languages!$A$129,E21=Languages!$B$129),($C$7*(C21/('Ingoing Substances'!E23/100)))/100,""))</f>
        <v/>
      </c>
      <c r="H21" s="54"/>
      <c r="I21" s="18"/>
      <c r="J21" s="18"/>
      <c r="K21" s="18"/>
      <c r="L21" s="18"/>
      <c r="M21" s="18"/>
      <c r="N21" s="18"/>
      <c r="O21" s="9"/>
      <c r="P21" s="9"/>
      <c r="Q21" s="9"/>
      <c r="R21" s="9"/>
      <c r="S21" s="9"/>
      <c r="T21" s="9"/>
    </row>
    <row r="22" spans="1:20" ht="16" x14ac:dyDescent="0.2">
      <c r="A22" s="130">
        <v>13</v>
      </c>
      <c r="B22" s="148" t="str">
        <f>IF('Ingoing Substances'!P24="Y",'Ingoing Substances'!B24,"")</f>
        <v/>
      </c>
      <c r="C22" s="143" t="str">
        <f>IF('Ingoing Substances'!P24="Y",'Ingoing Substances'!I24,"")</f>
        <v/>
      </c>
      <c r="D22" s="143" t="str">
        <f>IF('Ingoing Substances'!P24="Y",'Ingoing Substances'!H24,"")</f>
        <v/>
      </c>
      <c r="E22" s="144"/>
      <c r="F22" s="347"/>
      <c r="G22" s="135" t="str">
        <f>IF(OR(E22=Languages!$A$128,E22=Languages!$B$128),($C$7*C22*F22/100)/100,IF(OR(E22=Languages!$A$129,E22=Languages!$B$129),($C$7*(C22/('Ingoing Substances'!E24/100)))/100,""))</f>
        <v/>
      </c>
      <c r="H22" s="54"/>
      <c r="I22" s="18"/>
      <c r="J22" s="18"/>
      <c r="K22" s="18"/>
      <c r="L22" s="18"/>
      <c r="M22" s="18"/>
      <c r="N22" s="18"/>
      <c r="O22" s="9"/>
      <c r="P22" s="9"/>
      <c r="Q22" s="9"/>
      <c r="R22" s="9"/>
      <c r="S22" s="9"/>
      <c r="T22" s="9"/>
    </row>
    <row r="23" spans="1:20" ht="16" x14ac:dyDescent="0.2">
      <c r="A23" s="130">
        <v>14</v>
      </c>
      <c r="B23" s="148" t="str">
        <f>IF('Ingoing Substances'!P25="Y",'Ingoing Substances'!B25,"")</f>
        <v/>
      </c>
      <c r="C23" s="143" t="str">
        <f>IF('Ingoing Substances'!P25="Y",'Ingoing Substances'!I25,"")</f>
        <v/>
      </c>
      <c r="D23" s="143" t="str">
        <f>IF('Ingoing Substances'!P25="Y",'Ingoing Substances'!H25,"")</f>
        <v/>
      </c>
      <c r="E23" s="144"/>
      <c r="F23" s="347"/>
      <c r="G23" s="135" t="str">
        <f>IF(OR(E23=Languages!$A$128,E23=Languages!$B$128),($C$7*C23*F23/100)/100,IF(OR(E23=Languages!$A$129,E23=Languages!$B$129),($C$7*(C23/('Ingoing Substances'!E25/100)))/100,""))</f>
        <v/>
      </c>
      <c r="H23" s="54"/>
      <c r="I23" s="18"/>
      <c r="J23" s="18"/>
      <c r="K23" s="18"/>
      <c r="L23" s="18"/>
      <c r="M23" s="18"/>
      <c r="N23" s="18"/>
      <c r="O23" s="9"/>
      <c r="P23" s="9"/>
      <c r="Q23" s="9"/>
      <c r="R23" s="9"/>
      <c r="S23" s="9"/>
      <c r="T23" s="9"/>
    </row>
    <row r="24" spans="1:20" ht="16" x14ac:dyDescent="0.2">
      <c r="A24" s="130">
        <v>15</v>
      </c>
      <c r="B24" s="148" t="str">
        <f>IF('Ingoing Substances'!P26="Y",'Ingoing Substances'!B26,"")</f>
        <v/>
      </c>
      <c r="C24" s="143" t="str">
        <f>IF('Ingoing Substances'!P26="Y",'Ingoing Substances'!I26,"")</f>
        <v/>
      </c>
      <c r="D24" s="143" t="str">
        <f>IF('Ingoing Substances'!P26="Y",'Ingoing Substances'!H26,"")</f>
        <v/>
      </c>
      <c r="E24" s="144"/>
      <c r="F24" s="347"/>
      <c r="G24" s="135" t="str">
        <f>IF(OR(E24=Languages!$A$128,E24=Languages!$B$128),($C$7*C24*F24/100)/100,IF(OR(E24=Languages!$A$129,E24=Languages!$B$129),($C$7*(C24/('Ingoing Substances'!E26/100)))/100,""))</f>
        <v/>
      </c>
      <c r="H24" s="54"/>
      <c r="I24" s="18"/>
      <c r="J24" s="18"/>
      <c r="K24" s="18"/>
      <c r="L24" s="18"/>
      <c r="M24" s="18"/>
      <c r="N24" s="18"/>
      <c r="O24" s="9"/>
      <c r="P24" s="9"/>
      <c r="Q24" s="9"/>
      <c r="R24" s="9"/>
      <c r="S24" s="9"/>
      <c r="T24" s="9"/>
    </row>
    <row r="25" spans="1:20" ht="16" x14ac:dyDescent="0.2">
      <c r="A25" s="130">
        <v>16</v>
      </c>
      <c r="B25" s="148" t="str">
        <f>IF('Ingoing Substances'!P27="Y",'Ingoing Substances'!B27,"")</f>
        <v/>
      </c>
      <c r="C25" s="143" t="str">
        <f>IF('Ingoing Substances'!P27="Y",'Ingoing Substances'!I27,"")</f>
        <v/>
      </c>
      <c r="D25" s="143" t="str">
        <f>IF('Ingoing Substances'!P27="Y",'Ingoing Substances'!H27,"")</f>
        <v/>
      </c>
      <c r="E25" s="144"/>
      <c r="F25" s="347"/>
      <c r="G25" s="135" t="str">
        <f>IF(OR(E25=Languages!$A$128,E25=Languages!$B$128),($C$7*C25*F25/100)/100,IF(OR(E25=Languages!$A$129,E25=Languages!$B$129),($C$7*(C25/('Ingoing Substances'!E27/100)))/100,""))</f>
        <v/>
      </c>
      <c r="H25" s="54"/>
      <c r="I25" s="18"/>
      <c r="J25" s="18"/>
      <c r="K25" s="18"/>
      <c r="L25" s="18"/>
      <c r="M25" s="18"/>
      <c r="N25" s="18"/>
      <c r="O25" s="9"/>
      <c r="P25" s="9"/>
      <c r="Q25" s="9"/>
      <c r="R25" s="9"/>
      <c r="S25" s="9"/>
      <c r="T25" s="9"/>
    </row>
    <row r="26" spans="1:20" ht="16" x14ac:dyDescent="0.2">
      <c r="A26" s="130">
        <v>17</v>
      </c>
      <c r="B26" s="148" t="str">
        <f>IF('Ingoing Substances'!P28="Y",'Ingoing Substances'!B28,"")</f>
        <v/>
      </c>
      <c r="C26" s="143" t="str">
        <f>IF('Ingoing Substances'!P28="Y",'Ingoing Substances'!I28,"")</f>
        <v/>
      </c>
      <c r="D26" s="143" t="str">
        <f>IF('Ingoing Substances'!P28="Y",'Ingoing Substances'!H28,"")</f>
        <v/>
      </c>
      <c r="E26" s="144"/>
      <c r="F26" s="347"/>
      <c r="G26" s="135" t="str">
        <f>IF(OR(E26=Languages!$A$128,E26=Languages!$B$128),($C$7*C26*F26/100)/100,IF(OR(E26=Languages!$A$129,E26=Languages!$B$129),($C$7*(C26/('Ingoing Substances'!E28/100)))/100,""))</f>
        <v/>
      </c>
      <c r="H26" s="54"/>
      <c r="I26" s="18"/>
      <c r="J26" s="18"/>
      <c r="K26" s="18"/>
      <c r="L26" s="18"/>
      <c r="M26" s="18"/>
      <c r="N26" s="18"/>
      <c r="O26" s="9"/>
      <c r="P26" s="9"/>
      <c r="Q26" s="9"/>
      <c r="R26" s="9"/>
      <c r="S26" s="9"/>
      <c r="T26" s="9"/>
    </row>
    <row r="27" spans="1:20" ht="16" x14ac:dyDescent="0.2">
      <c r="A27" s="130">
        <v>18</v>
      </c>
      <c r="B27" s="148" t="str">
        <f>IF('Ingoing Substances'!P29="Y",'Ingoing Substances'!B29,"")</f>
        <v/>
      </c>
      <c r="C27" s="143" t="str">
        <f>IF('Ingoing Substances'!P29="Y",'Ingoing Substances'!I29,"")</f>
        <v/>
      </c>
      <c r="D27" s="143" t="str">
        <f>IF('Ingoing Substances'!P29="Y",'Ingoing Substances'!H29,"")</f>
        <v/>
      </c>
      <c r="E27" s="144"/>
      <c r="F27" s="347"/>
      <c r="G27" s="135" t="str">
        <f>IF(OR(E27=Languages!$A$128,E27=Languages!$B$128),($C$7*C27*F27/100)/100,IF(OR(E27=Languages!$A$129,E27=Languages!$B$129),($C$7*(C27/('Ingoing Substances'!E29/100)))/100,""))</f>
        <v/>
      </c>
      <c r="H27" s="54"/>
      <c r="I27" s="18"/>
      <c r="J27" s="18"/>
      <c r="K27" s="18"/>
      <c r="L27" s="18"/>
      <c r="M27" s="18"/>
      <c r="N27" s="18"/>
      <c r="O27" s="9"/>
      <c r="P27" s="9"/>
      <c r="Q27" s="9"/>
      <c r="R27" s="9"/>
      <c r="S27" s="9"/>
      <c r="T27" s="9"/>
    </row>
    <row r="28" spans="1:20" ht="16" x14ac:dyDescent="0.2">
      <c r="A28" s="130">
        <v>19</v>
      </c>
      <c r="B28" s="148" t="str">
        <f>IF('Ingoing Substances'!P30="Y",'Ingoing Substances'!B30,"")</f>
        <v/>
      </c>
      <c r="C28" s="143" t="str">
        <f>IF('Ingoing Substances'!P30="Y",'Ingoing Substances'!I30,"")</f>
        <v/>
      </c>
      <c r="D28" s="143" t="str">
        <f>IF('Ingoing Substances'!P30="Y",'Ingoing Substances'!H30,"")</f>
        <v/>
      </c>
      <c r="E28" s="144"/>
      <c r="F28" s="347"/>
      <c r="G28" s="135" t="str">
        <f>IF(OR(E28=Languages!$A$128,E28=Languages!$B$128),($C$7*C28*F28/100)/100,IF(OR(E28=Languages!$A$129,E28=Languages!$B$129),($C$7*(C28/('Ingoing Substances'!E30/100)))/100,""))</f>
        <v/>
      </c>
      <c r="H28" s="54"/>
      <c r="I28" s="18"/>
      <c r="J28" s="18"/>
      <c r="K28" s="18"/>
      <c r="L28" s="18"/>
      <c r="M28" s="18"/>
      <c r="N28" s="18"/>
      <c r="O28" s="9"/>
      <c r="P28" s="9"/>
      <c r="Q28" s="9"/>
      <c r="R28" s="9"/>
      <c r="S28" s="9"/>
      <c r="T28" s="9"/>
    </row>
    <row r="29" spans="1:20" ht="16" x14ac:dyDescent="0.2">
      <c r="A29" s="130">
        <v>20</v>
      </c>
      <c r="B29" s="148" t="str">
        <f>IF('Ingoing Substances'!P31="Y",'Ingoing Substances'!B31,"")</f>
        <v/>
      </c>
      <c r="C29" s="143" t="str">
        <f>IF('Ingoing Substances'!P31="Y",'Ingoing Substances'!I31,"")</f>
        <v/>
      </c>
      <c r="D29" s="143" t="str">
        <f>IF('Ingoing Substances'!P31="Y",'Ingoing Substances'!H31,"")</f>
        <v/>
      </c>
      <c r="E29" s="144"/>
      <c r="F29" s="347"/>
      <c r="G29" s="135" t="str">
        <f>IF(OR(E29=Languages!$A$128,E29=Languages!$B$128),($C$7*C29*F29/100)/100,IF(OR(E29=Languages!$A$129,E29=Languages!$B$129),($C$7*(C29/('Ingoing Substances'!E31/100)))/100,""))</f>
        <v/>
      </c>
      <c r="H29" s="54"/>
      <c r="I29" s="18"/>
      <c r="J29" s="18"/>
      <c r="K29" s="18"/>
      <c r="L29" s="18"/>
      <c r="M29" s="18"/>
      <c r="N29" s="18"/>
      <c r="O29" s="9"/>
      <c r="P29" s="9"/>
      <c r="Q29" s="9"/>
      <c r="R29" s="9"/>
      <c r="S29" s="9"/>
      <c r="T29" s="9"/>
    </row>
    <row r="30" spans="1:20" ht="16" x14ac:dyDescent="0.2">
      <c r="A30" s="130">
        <v>21</v>
      </c>
      <c r="B30" s="148" t="str">
        <f>IF('Ingoing Substances'!P32="Y",'Ingoing Substances'!B32,"")</f>
        <v/>
      </c>
      <c r="C30" s="143" t="str">
        <f>IF('Ingoing Substances'!P32="Y",'Ingoing Substances'!I32,"")</f>
        <v/>
      </c>
      <c r="D30" s="143" t="str">
        <f>IF('Ingoing Substances'!P32="Y",'Ingoing Substances'!H32,"")</f>
        <v/>
      </c>
      <c r="E30" s="144"/>
      <c r="F30" s="347"/>
      <c r="G30" s="135" t="str">
        <f>IF(OR(E30=Languages!$A$128,E30=Languages!$B$128),($C$7*C30*F30/100)/100,IF(OR(E30=Languages!$A$129,E30=Languages!$B$129),($C$7*(C30/('Ingoing Substances'!E32/100)))/100,""))</f>
        <v/>
      </c>
      <c r="H30" s="54"/>
      <c r="I30" s="18"/>
      <c r="J30" s="18"/>
      <c r="K30" s="18"/>
      <c r="L30" s="18"/>
      <c r="M30" s="18"/>
      <c r="N30" s="18"/>
      <c r="O30" s="9"/>
      <c r="P30" s="9"/>
      <c r="Q30" s="9"/>
      <c r="R30" s="9"/>
      <c r="S30" s="9"/>
      <c r="T30" s="9"/>
    </row>
    <row r="31" spans="1:20" ht="16" x14ac:dyDescent="0.2">
      <c r="A31" s="130">
        <v>22</v>
      </c>
      <c r="B31" s="148" t="str">
        <f>IF('Ingoing Substances'!P33="Y",'Ingoing Substances'!B33,"")</f>
        <v/>
      </c>
      <c r="C31" s="143" t="str">
        <f>IF('Ingoing Substances'!P33="Y",'Ingoing Substances'!I33,"")</f>
        <v/>
      </c>
      <c r="D31" s="143" t="str">
        <f>IF('Ingoing Substances'!P33="Y",'Ingoing Substances'!H33,"")</f>
        <v/>
      </c>
      <c r="E31" s="144"/>
      <c r="F31" s="347"/>
      <c r="G31" s="135" t="str">
        <f>IF(OR(E31=Languages!$A$128,E31=Languages!$B$128),($C$7*C31*F31/100)/100,IF(OR(E31=Languages!$A$129,E31=Languages!$B$129),($C$7*(C31/('Ingoing Substances'!E33/100)))/100,""))</f>
        <v/>
      </c>
      <c r="H31" s="54"/>
      <c r="I31" s="18"/>
      <c r="J31" s="18"/>
      <c r="K31" s="18"/>
      <c r="L31" s="18"/>
      <c r="M31" s="18"/>
      <c r="N31" s="18"/>
      <c r="O31" s="9"/>
      <c r="P31" s="9"/>
      <c r="Q31" s="9"/>
      <c r="R31" s="9"/>
      <c r="S31" s="9"/>
      <c r="T31" s="9"/>
    </row>
    <row r="32" spans="1:20" ht="16" x14ac:dyDescent="0.2">
      <c r="A32" s="130">
        <v>23</v>
      </c>
      <c r="B32" s="148" t="str">
        <f>IF('Ingoing Substances'!P34="Y",'Ingoing Substances'!B34,"")</f>
        <v/>
      </c>
      <c r="C32" s="143" t="str">
        <f>IF('Ingoing Substances'!P34="Y",'Ingoing Substances'!I34,"")</f>
        <v/>
      </c>
      <c r="D32" s="143" t="str">
        <f>IF('Ingoing Substances'!P34="Y",'Ingoing Substances'!H34,"")</f>
        <v/>
      </c>
      <c r="E32" s="144"/>
      <c r="F32" s="347"/>
      <c r="G32" s="135" t="str">
        <f>IF(OR(E32=Languages!$A$128,E32=Languages!$B$128),($C$7*C32*F32/100)/100,IF(OR(E32=Languages!$A$129,E32=Languages!$B$129),($C$7*(C32/('Ingoing Substances'!E34/100)))/100,""))</f>
        <v/>
      </c>
      <c r="H32" s="54"/>
      <c r="I32" s="18"/>
      <c r="J32" s="18"/>
      <c r="K32" s="18"/>
      <c r="L32" s="18"/>
      <c r="M32" s="18"/>
      <c r="N32" s="18"/>
      <c r="O32" s="9"/>
      <c r="P32" s="9"/>
      <c r="Q32" s="9"/>
      <c r="R32" s="9"/>
      <c r="S32" s="9"/>
      <c r="T32" s="9"/>
    </row>
    <row r="33" spans="1:20" ht="16" x14ac:dyDescent="0.2">
      <c r="A33" s="130">
        <v>24</v>
      </c>
      <c r="B33" s="148" t="str">
        <f>IF('Ingoing Substances'!P35="Y",'Ingoing Substances'!B35,"")</f>
        <v/>
      </c>
      <c r="C33" s="143" t="str">
        <f>IF('Ingoing Substances'!P35="Y",'Ingoing Substances'!I35,"")</f>
        <v/>
      </c>
      <c r="D33" s="143" t="str">
        <f>IF('Ingoing Substances'!P35="Y",'Ingoing Substances'!H35,"")</f>
        <v/>
      </c>
      <c r="E33" s="144"/>
      <c r="F33" s="347"/>
      <c r="G33" s="135" t="str">
        <f>IF(OR(E33=Languages!$A$128,E33=Languages!$B$128),($C$7*C33*F33/100)/100,IF(OR(E33=Languages!$A$129,E33=Languages!$B$129),($C$7*(C33/('Ingoing Substances'!E35/100)))/100,""))</f>
        <v/>
      </c>
      <c r="H33" s="54"/>
      <c r="I33" s="18"/>
      <c r="J33" s="18"/>
      <c r="K33" s="18"/>
      <c r="L33" s="18"/>
      <c r="M33" s="18"/>
      <c r="N33" s="18"/>
      <c r="O33" s="9"/>
      <c r="P33" s="9"/>
      <c r="Q33" s="9"/>
      <c r="R33" s="9"/>
      <c r="S33" s="9"/>
      <c r="T33" s="9"/>
    </row>
    <row r="34" spans="1:20" ht="16" x14ac:dyDescent="0.2">
      <c r="A34" s="130">
        <v>25</v>
      </c>
      <c r="B34" s="148" t="str">
        <f>IF('Ingoing Substances'!P36="Y",'Ingoing Substances'!B36,"")</f>
        <v/>
      </c>
      <c r="C34" s="143" t="str">
        <f>IF('Ingoing Substances'!P36="Y",'Ingoing Substances'!I36,"")</f>
        <v/>
      </c>
      <c r="D34" s="143" t="str">
        <f>IF('Ingoing Substances'!P36="Y",'Ingoing Substances'!H36,"")</f>
        <v/>
      </c>
      <c r="E34" s="144"/>
      <c r="F34" s="347"/>
      <c r="G34" s="135" t="str">
        <f>IF(OR(E34=Languages!$A$128,E34=Languages!$B$128),($C$7*C34*F34/100)/100,IF(OR(E34=Languages!$A$129,E34=Languages!$B$129),($C$7*(C34/('Ingoing Substances'!E36/100)))/100,""))</f>
        <v/>
      </c>
      <c r="H34" s="54"/>
      <c r="I34" s="18"/>
      <c r="J34" s="18"/>
      <c r="K34" s="18"/>
      <c r="L34" s="18"/>
      <c r="M34" s="18"/>
      <c r="N34" s="18"/>
      <c r="O34" s="9"/>
      <c r="P34" s="9"/>
      <c r="Q34" s="9"/>
      <c r="R34" s="9"/>
      <c r="S34" s="9"/>
      <c r="T34" s="9"/>
    </row>
    <row r="35" spans="1:20" ht="16" x14ac:dyDescent="0.2">
      <c r="A35" s="130">
        <v>26</v>
      </c>
      <c r="B35" s="148" t="str">
        <f>IF('Ingoing Substances'!P37="Y",'Ingoing Substances'!B37,"")</f>
        <v/>
      </c>
      <c r="C35" s="143" t="str">
        <f>IF('Ingoing Substances'!P37="Y",'Ingoing Substances'!I37,"")</f>
        <v/>
      </c>
      <c r="D35" s="143" t="str">
        <f>IF('Ingoing Substances'!P37="Y",'Ingoing Substances'!H37,"")</f>
        <v/>
      </c>
      <c r="E35" s="144"/>
      <c r="F35" s="347"/>
      <c r="G35" s="135" t="str">
        <f>IF(OR(E35=Languages!$A$128,E35=Languages!$B$128),($C$7*C35*F35/100)/100,IF(OR(E35=Languages!$A$129,E35=Languages!$B$129),($C$7*(C35/('Ingoing Substances'!E37/100)))/100,""))</f>
        <v/>
      </c>
      <c r="H35" s="54"/>
      <c r="I35" s="18"/>
      <c r="J35" s="18"/>
      <c r="K35" s="18"/>
      <c r="L35" s="18"/>
      <c r="M35" s="18"/>
      <c r="N35" s="18"/>
      <c r="O35" s="9"/>
      <c r="P35" s="9"/>
      <c r="Q35" s="9"/>
      <c r="R35" s="9"/>
      <c r="S35" s="9"/>
      <c r="T35" s="9"/>
    </row>
    <row r="36" spans="1:20" ht="16" x14ac:dyDescent="0.2">
      <c r="A36" s="130">
        <v>27</v>
      </c>
      <c r="B36" s="148" t="str">
        <f>IF('Ingoing Substances'!P38="Y",'Ingoing Substances'!B38,"")</f>
        <v/>
      </c>
      <c r="C36" s="143" t="str">
        <f>IF('Ingoing Substances'!P38="Y",'Ingoing Substances'!I38,"")</f>
        <v/>
      </c>
      <c r="D36" s="143" t="str">
        <f>IF('Ingoing Substances'!P38="Y",'Ingoing Substances'!H38,"")</f>
        <v/>
      </c>
      <c r="E36" s="144"/>
      <c r="F36" s="347"/>
      <c r="G36" s="135" t="str">
        <f>IF(OR(E36=Languages!$A$128,E36=Languages!$B$128),($C$7*C36*F36/100)/100,IF(OR(E36=Languages!$A$129,E36=Languages!$B$129),($C$7*(C36/('Ingoing Substances'!E38/100)))/100,""))</f>
        <v/>
      </c>
      <c r="H36" s="54"/>
      <c r="I36" s="18"/>
      <c r="J36" s="18"/>
      <c r="K36" s="18"/>
      <c r="L36" s="18"/>
      <c r="M36" s="18"/>
      <c r="N36" s="18"/>
      <c r="O36" s="9"/>
      <c r="P36" s="9"/>
      <c r="Q36" s="9"/>
      <c r="R36" s="9"/>
      <c r="S36" s="9"/>
      <c r="T36" s="9"/>
    </row>
    <row r="37" spans="1:20" ht="16" x14ac:dyDescent="0.2">
      <c r="A37" s="130">
        <v>28</v>
      </c>
      <c r="B37" s="148" t="str">
        <f>IF('Ingoing Substances'!P39="Y",'Ingoing Substances'!B39,"")</f>
        <v/>
      </c>
      <c r="C37" s="143" t="str">
        <f>IF('Ingoing Substances'!P39="Y",'Ingoing Substances'!I39,"")</f>
        <v/>
      </c>
      <c r="D37" s="143" t="str">
        <f>IF('Ingoing Substances'!P39="Y",'Ingoing Substances'!H39,"")</f>
        <v/>
      </c>
      <c r="E37" s="144"/>
      <c r="F37" s="347"/>
      <c r="G37" s="135" t="str">
        <f>IF(OR(E37=Languages!$A$128,E37=Languages!$B$128),($C$7*C37*F37/100)/100,IF(OR(E37=Languages!$A$129,E37=Languages!$B$129),($C$7*(C37/('Ingoing Substances'!E39/100)))/100,""))</f>
        <v/>
      </c>
      <c r="H37" s="54"/>
      <c r="I37" s="18"/>
      <c r="J37" s="18"/>
      <c r="K37" s="18"/>
      <c r="L37" s="18"/>
      <c r="M37" s="18"/>
      <c r="N37" s="18"/>
      <c r="O37" s="9"/>
      <c r="P37" s="9"/>
      <c r="Q37" s="9"/>
      <c r="R37" s="9"/>
      <c r="S37" s="9"/>
      <c r="T37" s="9"/>
    </row>
    <row r="38" spans="1:20" ht="16" x14ac:dyDescent="0.2">
      <c r="A38" s="130">
        <v>29</v>
      </c>
      <c r="B38" s="148" t="str">
        <f>IF('Ingoing Substances'!P40="Y",'Ingoing Substances'!B40,"")</f>
        <v/>
      </c>
      <c r="C38" s="143" t="str">
        <f>IF('Ingoing Substances'!P40="Y",'Ingoing Substances'!I40,"")</f>
        <v/>
      </c>
      <c r="D38" s="143" t="str">
        <f>IF('Ingoing Substances'!P40="Y",'Ingoing Substances'!H40,"")</f>
        <v/>
      </c>
      <c r="E38" s="144"/>
      <c r="F38" s="347"/>
      <c r="G38" s="135" t="str">
        <f>IF(OR(E38=Languages!$A$128,E38=Languages!$B$128),($C$7*C38*F38/100)/100,IF(OR(E38=Languages!$A$129,E38=Languages!$B$129),($C$7*(C38/('Ingoing Substances'!E40/100)))/100,""))</f>
        <v/>
      </c>
      <c r="H38" s="54"/>
      <c r="I38" s="18"/>
      <c r="J38" s="18"/>
      <c r="K38" s="18"/>
      <c r="L38" s="18"/>
      <c r="M38" s="18"/>
      <c r="N38" s="18"/>
      <c r="O38" s="9"/>
      <c r="P38" s="9"/>
      <c r="Q38" s="9"/>
      <c r="R38" s="9"/>
      <c r="S38" s="9"/>
      <c r="T38" s="9"/>
    </row>
    <row r="39" spans="1:20" ht="16" x14ac:dyDescent="0.2">
      <c r="A39" s="130">
        <v>30</v>
      </c>
      <c r="B39" s="148" t="str">
        <f>IF('Ingoing Substances'!P41="Y",'Ingoing Substances'!B41,"")</f>
        <v/>
      </c>
      <c r="C39" s="143" t="str">
        <f>IF('Ingoing Substances'!P41="Y",'Ingoing Substances'!I41,"")</f>
        <v/>
      </c>
      <c r="D39" s="143" t="str">
        <f>IF('Ingoing Substances'!P41="Y",'Ingoing Substances'!H41,"")</f>
        <v/>
      </c>
      <c r="E39" s="144"/>
      <c r="F39" s="347"/>
      <c r="G39" s="135" t="str">
        <f>IF(OR(E39=Languages!$A$128,E39=Languages!$B$128),($C$7*C39*F39/100)/100,IF(OR(E39=Languages!$A$129,E39=Languages!$B$129),($C$7*(C39/('Ingoing Substances'!E41/100)))/100,""))</f>
        <v/>
      </c>
      <c r="H39" s="54"/>
      <c r="I39" s="18"/>
      <c r="J39" s="18"/>
      <c r="K39" s="18"/>
      <c r="L39" s="18"/>
      <c r="M39" s="18"/>
      <c r="N39" s="18"/>
      <c r="O39" s="9"/>
      <c r="P39" s="9"/>
      <c r="Q39" s="9"/>
      <c r="R39" s="9"/>
      <c r="S39" s="9"/>
      <c r="T39" s="9"/>
    </row>
    <row r="40" spans="1:20" ht="16" x14ac:dyDescent="0.2">
      <c r="A40" s="130">
        <v>31</v>
      </c>
      <c r="B40" s="148" t="str">
        <f>IF('Ingoing Substances'!P42="Y",'Ingoing Substances'!B42,"")</f>
        <v/>
      </c>
      <c r="C40" s="143" t="str">
        <f>IF('Ingoing Substances'!P42="Y",'Ingoing Substances'!I42,"")</f>
        <v/>
      </c>
      <c r="D40" s="143" t="str">
        <f>IF('Ingoing Substances'!P42="Y",'Ingoing Substances'!H42,"")</f>
        <v/>
      </c>
      <c r="E40" s="144"/>
      <c r="F40" s="347"/>
      <c r="G40" s="135" t="str">
        <f>IF(OR(E40=Languages!$A$128,E40=Languages!$B$128),($C$7*C40*F40/100)/100,IF(OR(E40=Languages!$A$129,E40=Languages!$B$129),($C$7*(C40/('Ingoing Substances'!E42/100)))/100,""))</f>
        <v/>
      </c>
      <c r="H40" s="54"/>
      <c r="I40" s="18"/>
      <c r="J40" s="18"/>
      <c r="K40" s="18"/>
      <c r="L40" s="18"/>
      <c r="M40" s="18"/>
      <c r="N40" s="18"/>
      <c r="O40" s="9"/>
      <c r="P40" s="9"/>
      <c r="Q40" s="9"/>
      <c r="R40" s="9"/>
      <c r="S40" s="9"/>
      <c r="T40" s="9"/>
    </row>
    <row r="41" spans="1:20" ht="16" x14ac:dyDescent="0.2">
      <c r="A41" s="130">
        <v>32</v>
      </c>
      <c r="B41" s="148" t="str">
        <f>IF('Ingoing Substances'!P43="Y",'Ingoing Substances'!B43,"")</f>
        <v/>
      </c>
      <c r="C41" s="143" t="str">
        <f>IF('Ingoing Substances'!P43="Y",'Ingoing Substances'!I43,"")</f>
        <v/>
      </c>
      <c r="D41" s="143" t="str">
        <f>IF('Ingoing Substances'!P43="Y",'Ingoing Substances'!H43,"")</f>
        <v/>
      </c>
      <c r="E41" s="144"/>
      <c r="F41" s="347"/>
      <c r="G41" s="135" t="str">
        <f>IF(OR(E41=Languages!$A$128,E41=Languages!$B$128),($C$7*C41*F41/100)/100,IF(OR(E41=Languages!$A$129,E41=Languages!$B$129),($C$7*(C41/('Ingoing Substances'!E43/100)))/100,""))</f>
        <v/>
      </c>
      <c r="H41" s="54"/>
      <c r="I41" s="18"/>
      <c r="J41" s="18"/>
      <c r="K41" s="18"/>
      <c r="L41" s="18"/>
      <c r="M41" s="18"/>
      <c r="N41" s="18"/>
      <c r="O41" s="9"/>
      <c r="P41" s="9"/>
      <c r="Q41" s="9"/>
      <c r="R41" s="9"/>
      <c r="S41" s="9"/>
      <c r="T41" s="9"/>
    </row>
    <row r="42" spans="1:20" ht="16" x14ac:dyDescent="0.2">
      <c r="A42" s="130">
        <v>33</v>
      </c>
      <c r="B42" s="148" t="str">
        <f>IF('Ingoing Substances'!P44="Y",'Ingoing Substances'!B44,"")</f>
        <v/>
      </c>
      <c r="C42" s="143" t="str">
        <f>IF('Ingoing Substances'!P44="Y",'Ingoing Substances'!I44,"")</f>
        <v/>
      </c>
      <c r="D42" s="143" t="str">
        <f>IF('Ingoing Substances'!P44="Y",'Ingoing Substances'!H44,"")</f>
        <v/>
      </c>
      <c r="E42" s="144"/>
      <c r="F42" s="347"/>
      <c r="G42" s="135" t="str">
        <f>IF(OR(E42=Languages!$A$128,E42=Languages!$B$128),($C$7*C42*F42/100)/100,IF(OR(E42=Languages!$A$129,E42=Languages!$B$129),($C$7*(C42/('Ingoing Substances'!E44/100)))/100,""))</f>
        <v/>
      </c>
      <c r="H42" s="54"/>
      <c r="I42" s="18"/>
      <c r="J42" s="18"/>
      <c r="K42" s="18"/>
      <c r="L42" s="18"/>
      <c r="M42" s="18"/>
      <c r="N42" s="18"/>
      <c r="O42" s="9"/>
      <c r="P42" s="9"/>
      <c r="Q42" s="9"/>
      <c r="R42" s="9"/>
      <c r="S42" s="9"/>
      <c r="T42" s="9"/>
    </row>
    <row r="43" spans="1:20" ht="16" x14ac:dyDescent="0.2">
      <c r="A43" s="130">
        <v>34</v>
      </c>
      <c r="B43" s="148" t="str">
        <f>IF('Ingoing Substances'!P45="Y",'Ingoing Substances'!B45,"")</f>
        <v/>
      </c>
      <c r="C43" s="143" t="str">
        <f>IF('Ingoing Substances'!P45="Y",'Ingoing Substances'!I45,"")</f>
        <v/>
      </c>
      <c r="D43" s="143" t="str">
        <f>IF('Ingoing Substances'!P45="Y",'Ingoing Substances'!H45,"")</f>
        <v/>
      </c>
      <c r="E43" s="144"/>
      <c r="F43" s="347"/>
      <c r="G43" s="135" t="str">
        <f>IF(OR(E43=Languages!$A$128,E43=Languages!$B$128),($C$7*C43*F43/100)/100,IF(OR(E43=Languages!$A$129,E43=Languages!$B$129),($C$7*(C43/('Ingoing Substances'!E45/100)))/100,""))</f>
        <v/>
      </c>
      <c r="H43" s="54"/>
      <c r="I43" s="18"/>
      <c r="J43" s="18"/>
      <c r="K43" s="18"/>
      <c r="L43" s="18"/>
      <c r="M43" s="18"/>
      <c r="N43" s="18"/>
      <c r="O43" s="9"/>
      <c r="P43" s="9"/>
      <c r="Q43" s="9"/>
      <c r="R43" s="9"/>
      <c r="S43" s="9"/>
      <c r="T43" s="9"/>
    </row>
    <row r="44" spans="1:20" ht="16" x14ac:dyDescent="0.2">
      <c r="A44" s="130">
        <v>35</v>
      </c>
      <c r="B44" s="148" t="str">
        <f>IF('Ingoing Substances'!P46="Y",'Ingoing Substances'!B46,"")</f>
        <v/>
      </c>
      <c r="C44" s="143" t="str">
        <f>IF('Ingoing Substances'!P46="Y",'Ingoing Substances'!I46,"")</f>
        <v/>
      </c>
      <c r="D44" s="143" t="str">
        <f>IF('Ingoing Substances'!P46="Y",'Ingoing Substances'!H46,"")</f>
        <v/>
      </c>
      <c r="E44" s="144"/>
      <c r="F44" s="347"/>
      <c r="G44" s="135" t="str">
        <f>IF(OR(E44=Languages!$A$128,E44=Languages!$B$128),($C$7*C44*F44/100)/100,IF(OR(E44=Languages!$A$129,E44=Languages!$B$129),($C$7*(C44/('Ingoing Substances'!E46/100)))/100,""))</f>
        <v/>
      </c>
      <c r="H44" s="54"/>
      <c r="I44" s="18"/>
      <c r="J44" s="18"/>
      <c r="K44" s="18"/>
      <c r="L44" s="18"/>
      <c r="M44" s="18"/>
      <c r="N44" s="18"/>
      <c r="O44" s="9"/>
      <c r="P44" s="9"/>
      <c r="Q44" s="9"/>
      <c r="R44" s="9"/>
      <c r="S44" s="9"/>
      <c r="T44" s="9"/>
    </row>
    <row r="45" spans="1:20" ht="16" x14ac:dyDescent="0.2">
      <c r="A45" s="130">
        <v>36</v>
      </c>
      <c r="B45" s="148" t="str">
        <f>IF('Ingoing Substances'!P47="Y",'Ingoing Substances'!B47,"")</f>
        <v/>
      </c>
      <c r="C45" s="143" t="str">
        <f>IF('Ingoing Substances'!P47="Y",'Ingoing Substances'!I47,"")</f>
        <v/>
      </c>
      <c r="D45" s="143" t="str">
        <f>IF('Ingoing Substances'!P47="Y",'Ingoing Substances'!H47,"")</f>
        <v/>
      </c>
      <c r="E45" s="144"/>
      <c r="F45" s="347"/>
      <c r="G45" s="135" t="str">
        <f>IF(OR(E45=Languages!$A$128,E45=Languages!$B$128),($C$7*C45*F45/100)/100,IF(OR(E45=Languages!$A$129,E45=Languages!$B$129),($C$7*(C45/('Ingoing Substances'!E47/100)))/100,""))</f>
        <v/>
      </c>
      <c r="H45" s="54"/>
      <c r="I45" s="18"/>
      <c r="J45" s="18"/>
      <c r="K45" s="18"/>
      <c r="L45" s="18"/>
      <c r="M45" s="18"/>
      <c r="N45" s="18"/>
      <c r="O45" s="9"/>
      <c r="P45" s="9"/>
      <c r="Q45" s="9"/>
      <c r="R45" s="9"/>
      <c r="S45" s="9"/>
      <c r="T45" s="9"/>
    </row>
    <row r="46" spans="1:20" ht="16" x14ac:dyDescent="0.2">
      <c r="A46" s="130">
        <v>37</v>
      </c>
      <c r="B46" s="148" t="str">
        <f>IF('Ingoing Substances'!P48="Y",'Ingoing Substances'!B48,"")</f>
        <v/>
      </c>
      <c r="C46" s="143" t="str">
        <f>IF('Ingoing Substances'!P48="Y",'Ingoing Substances'!I48,"")</f>
        <v/>
      </c>
      <c r="D46" s="143" t="str">
        <f>IF('Ingoing Substances'!P48="Y",'Ingoing Substances'!H48,"")</f>
        <v/>
      </c>
      <c r="E46" s="144"/>
      <c r="F46" s="347"/>
      <c r="G46" s="135" t="str">
        <f>IF(OR(E46=Languages!$A$128,E46=Languages!$B$128),($C$7*C46*F46/100)/100,IF(OR(E46=Languages!$A$129,E46=Languages!$B$129),($C$7*(C46/('Ingoing Substances'!E48/100)))/100,""))</f>
        <v/>
      </c>
      <c r="H46" s="54"/>
      <c r="I46" s="18"/>
      <c r="J46" s="18"/>
      <c r="K46" s="18"/>
      <c r="L46" s="18"/>
      <c r="M46" s="18"/>
      <c r="N46" s="18"/>
      <c r="O46" s="9"/>
      <c r="P46" s="9"/>
      <c r="Q46" s="9"/>
      <c r="R46" s="9"/>
      <c r="S46" s="9"/>
      <c r="T46" s="9"/>
    </row>
    <row r="47" spans="1:20" ht="16" x14ac:dyDescent="0.2">
      <c r="A47" s="130">
        <v>38</v>
      </c>
      <c r="B47" s="148" t="str">
        <f>IF('Ingoing Substances'!P49="Y",'Ingoing Substances'!B49,"")</f>
        <v/>
      </c>
      <c r="C47" s="143" t="str">
        <f>IF('Ingoing Substances'!P49="Y",'Ingoing Substances'!I49,"")</f>
        <v/>
      </c>
      <c r="D47" s="143" t="str">
        <f>IF('Ingoing Substances'!P49="Y",'Ingoing Substances'!H49,"")</f>
        <v/>
      </c>
      <c r="E47" s="144"/>
      <c r="F47" s="347"/>
      <c r="G47" s="135" t="str">
        <f>IF(OR(E47=Languages!$A$128,E47=Languages!$B$128),($C$7*C47*F47/100)/100,IF(OR(E47=Languages!$A$129,E47=Languages!$B$129),($C$7*(C47/('Ingoing Substances'!E49/100)))/100,""))</f>
        <v/>
      </c>
      <c r="H47" s="54"/>
      <c r="I47" s="18"/>
      <c r="J47" s="18"/>
      <c r="K47" s="18"/>
      <c r="L47" s="18"/>
      <c r="M47" s="18"/>
      <c r="N47" s="18"/>
      <c r="O47" s="9"/>
      <c r="P47" s="9"/>
      <c r="Q47" s="9"/>
      <c r="R47" s="9"/>
      <c r="S47" s="9"/>
      <c r="T47" s="9"/>
    </row>
    <row r="48" spans="1:20" ht="16" x14ac:dyDescent="0.2">
      <c r="A48" s="130">
        <v>39</v>
      </c>
      <c r="B48" s="148" t="str">
        <f>IF('Ingoing Substances'!P50="Y",'Ingoing Substances'!B50,"")</f>
        <v/>
      </c>
      <c r="C48" s="143" t="str">
        <f>IF('Ingoing Substances'!P50="Y",'Ingoing Substances'!I50,"")</f>
        <v/>
      </c>
      <c r="D48" s="143" t="str">
        <f>IF('Ingoing Substances'!P50="Y",'Ingoing Substances'!H50,"")</f>
        <v/>
      </c>
      <c r="E48" s="144"/>
      <c r="F48" s="347"/>
      <c r="G48" s="135" t="str">
        <f>IF(OR(E48=Languages!$A$128,E48=Languages!$B$128),($C$7*C48*F48/100)/100,IF(OR(E48=Languages!$A$129,E48=Languages!$B$129),($C$7*(C48/('Ingoing Substances'!E50/100)))/100,""))</f>
        <v/>
      </c>
      <c r="H48" s="54"/>
      <c r="I48" s="18"/>
      <c r="J48" s="18"/>
      <c r="K48" s="18"/>
      <c r="L48" s="18"/>
      <c r="M48" s="18"/>
      <c r="N48" s="18"/>
      <c r="O48" s="9"/>
      <c r="P48" s="9"/>
      <c r="Q48" s="9"/>
      <c r="R48" s="9"/>
      <c r="S48" s="9"/>
      <c r="T48" s="9"/>
    </row>
    <row r="49" spans="1:20" ht="16" x14ac:dyDescent="0.2">
      <c r="A49" s="130">
        <v>40</v>
      </c>
      <c r="B49" s="148" t="str">
        <f>IF('Ingoing Substances'!P51="Y",'Ingoing Substances'!B51,"")</f>
        <v/>
      </c>
      <c r="C49" s="143" t="str">
        <f>IF('Ingoing Substances'!P51="Y",'Ingoing Substances'!I51,"")</f>
        <v/>
      </c>
      <c r="D49" s="143" t="str">
        <f>IF('Ingoing Substances'!P51="Y",'Ingoing Substances'!H51,"")</f>
        <v/>
      </c>
      <c r="E49" s="144"/>
      <c r="F49" s="347"/>
      <c r="G49" s="135" t="str">
        <f>IF(OR(E49=Languages!$A$128,E49=Languages!$B$128),($C$7*C49*F49/100)/100,IF(OR(E49=Languages!$A$129,E49=Languages!$B$129),($C$7*(C49/('Ingoing Substances'!E51/100)))/100,""))</f>
        <v/>
      </c>
      <c r="H49" s="54"/>
      <c r="I49" s="18"/>
      <c r="J49" s="18"/>
      <c r="K49" s="18"/>
      <c r="L49" s="18"/>
      <c r="M49" s="18"/>
      <c r="N49" s="18"/>
      <c r="O49" s="9"/>
      <c r="P49" s="9"/>
      <c r="Q49" s="9"/>
      <c r="R49" s="9"/>
      <c r="S49" s="9"/>
      <c r="T49" s="9"/>
    </row>
    <row r="50" spans="1:20" ht="16" x14ac:dyDescent="0.2">
      <c r="A50" s="130">
        <v>41</v>
      </c>
      <c r="B50" s="148" t="str">
        <f>IF('Ingoing Substances'!P52="Y",'Ingoing Substances'!B52,"")</f>
        <v/>
      </c>
      <c r="C50" s="143" t="str">
        <f>IF('Ingoing Substances'!P52="Y",'Ingoing Substances'!I52,"")</f>
        <v/>
      </c>
      <c r="D50" s="143" t="str">
        <f>IF('Ingoing Substances'!P52="Y",'Ingoing Substances'!H52,"")</f>
        <v/>
      </c>
      <c r="E50" s="144"/>
      <c r="F50" s="347"/>
      <c r="G50" s="135" t="str">
        <f>IF(OR(E50=Languages!$A$128,E50=Languages!$B$128),($C$7*C50*F50/100)/100,IF(OR(E50=Languages!$A$129,E50=Languages!$B$129),($C$7*(C50/('Ingoing Substances'!E52/100)))/100,""))</f>
        <v/>
      </c>
      <c r="H50" s="54"/>
      <c r="I50" s="18"/>
      <c r="J50" s="18"/>
      <c r="K50" s="18"/>
      <c r="L50" s="18"/>
      <c r="M50" s="18"/>
      <c r="N50" s="18"/>
      <c r="O50" s="9"/>
      <c r="P50" s="9"/>
      <c r="Q50" s="9"/>
      <c r="R50" s="9"/>
      <c r="S50" s="9"/>
      <c r="T50" s="9"/>
    </row>
    <row r="51" spans="1:20" ht="16" x14ac:dyDescent="0.2">
      <c r="A51" s="130">
        <v>42</v>
      </c>
      <c r="B51" s="148" t="str">
        <f>IF('Ingoing Substances'!P53="Y",'Ingoing Substances'!B53,"")</f>
        <v/>
      </c>
      <c r="C51" s="143" t="str">
        <f>IF('Ingoing Substances'!P53="Y",'Ingoing Substances'!I53,"")</f>
        <v/>
      </c>
      <c r="D51" s="143" t="str">
        <f>IF('Ingoing Substances'!P53="Y",'Ingoing Substances'!H53,"")</f>
        <v/>
      </c>
      <c r="E51" s="144"/>
      <c r="F51" s="347"/>
      <c r="G51" s="135" t="str">
        <f>IF(OR(E51=Languages!$A$128,E51=Languages!$B$128),($C$7*C51*F51/100)/100,IF(OR(E51=Languages!$A$129,E51=Languages!$B$129),($C$7*(C51/('Ingoing Substances'!E53/100)))/100,""))</f>
        <v/>
      </c>
      <c r="H51" s="54"/>
      <c r="I51" s="18"/>
      <c r="J51" s="18"/>
      <c r="K51" s="18"/>
      <c r="L51" s="18"/>
      <c r="M51" s="18"/>
      <c r="N51" s="18"/>
      <c r="O51" s="9"/>
      <c r="P51" s="9"/>
      <c r="Q51" s="9"/>
      <c r="R51" s="9"/>
      <c r="S51" s="9"/>
      <c r="T51" s="9"/>
    </row>
    <row r="52" spans="1:20" ht="16" x14ac:dyDescent="0.2">
      <c r="A52" s="130">
        <v>43</v>
      </c>
      <c r="B52" s="148" t="str">
        <f>IF('Ingoing Substances'!P54="Y",'Ingoing Substances'!B54,"")</f>
        <v/>
      </c>
      <c r="C52" s="143" t="str">
        <f>IF('Ingoing Substances'!P54="Y",'Ingoing Substances'!I54,"")</f>
        <v/>
      </c>
      <c r="D52" s="143" t="str">
        <f>IF('Ingoing Substances'!P54="Y",'Ingoing Substances'!H54,"")</f>
        <v/>
      </c>
      <c r="E52" s="144"/>
      <c r="F52" s="347"/>
      <c r="G52" s="135" t="str">
        <f>IF(OR(E52=Languages!$A$128,E52=Languages!$B$128),($C$7*C52*F52/100)/100,IF(OR(E52=Languages!$A$129,E52=Languages!$B$129),($C$7*(C52/('Ingoing Substances'!E54/100)))/100,""))</f>
        <v/>
      </c>
      <c r="H52" s="54"/>
      <c r="I52" s="18"/>
      <c r="J52" s="18"/>
      <c r="K52" s="18"/>
      <c r="L52" s="18"/>
      <c r="M52" s="18"/>
      <c r="N52" s="18"/>
      <c r="O52" s="9"/>
      <c r="P52" s="9"/>
      <c r="Q52" s="9"/>
      <c r="R52" s="9"/>
      <c r="S52" s="9"/>
      <c r="T52" s="9"/>
    </row>
    <row r="53" spans="1:20" ht="16" x14ac:dyDescent="0.2">
      <c r="A53" s="130">
        <v>44</v>
      </c>
      <c r="B53" s="148" t="str">
        <f>IF('Ingoing Substances'!P55="Y",'Ingoing Substances'!B55,"")</f>
        <v/>
      </c>
      <c r="C53" s="143" t="str">
        <f>IF('Ingoing Substances'!P55="Y",'Ingoing Substances'!I55,"")</f>
        <v/>
      </c>
      <c r="D53" s="143" t="str">
        <f>IF('Ingoing Substances'!P55="Y",'Ingoing Substances'!H55,"")</f>
        <v/>
      </c>
      <c r="E53" s="144"/>
      <c r="F53" s="347"/>
      <c r="G53" s="135" t="str">
        <f>IF(OR(E53=Languages!$A$128,E53=Languages!$B$128),($C$7*C53*F53/100)/100,IF(OR(E53=Languages!$A$129,E53=Languages!$B$129),($C$7*(C53/('Ingoing Substances'!E55/100)))/100,""))</f>
        <v/>
      </c>
      <c r="H53" s="54"/>
      <c r="I53" s="18"/>
      <c r="J53" s="18"/>
      <c r="K53" s="18"/>
      <c r="L53" s="18"/>
      <c r="M53" s="18"/>
      <c r="N53" s="18"/>
      <c r="O53" s="9"/>
      <c r="P53" s="9"/>
      <c r="Q53" s="9"/>
      <c r="R53" s="9"/>
      <c r="S53" s="9"/>
      <c r="T53" s="9"/>
    </row>
    <row r="54" spans="1:20" ht="16" x14ac:dyDescent="0.2">
      <c r="A54" s="130">
        <v>45</v>
      </c>
      <c r="B54" s="148" t="str">
        <f>IF('Ingoing Substances'!P56="Y",'Ingoing Substances'!B56,"")</f>
        <v/>
      </c>
      <c r="C54" s="143" t="str">
        <f>IF('Ingoing Substances'!P56="Y",'Ingoing Substances'!I56,"")</f>
        <v/>
      </c>
      <c r="D54" s="143" t="str">
        <f>IF('Ingoing Substances'!P56="Y",'Ingoing Substances'!H56,"")</f>
        <v/>
      </c>
      <c r="E54" s="144"/>
      <c r="F54" s="347"/>
      <c r="G54" s="135" t="str">
        <f>IF(OR(E54=Languages!$A$128,E54=Languages!$B$128),($C$7*C54*F54/100)/100,IF(OR(E54=Languages!$A$129,E54=Languages!$B$129),($C$7*(C54/('Ingoing Substances'!E56/100)))/100,""))</f>
        <v/>
      </c>
      <c r="H54" s="54"/>
      <c r="I54" s="18"/>
      <c r="J54" s="18"/>
      <c r="K54" s="18"/>
      <c r="L54" s="18"/>
      <c r="M54" s="18"/>
      <c r="N54" s="18"/>
      <c r="O54" s="9"/>
      <c r="P54" s="9"/>
      <c r="Q54" s="9"/>
      <c r="R54" s="9"/>
      <c r="S54" s="9"/>
      <c r="T54" s="9"/>
    </row>
    <row r="55" spans="1:20" ht="16" x14ac:dyDescent="0.2">
      <c r="A55" s="130">
        <v>46</v>
      </c>
      <c r="B55" s="148" t="str">
        <f>IF('Ingoing Substances'!P57="Y",'Ingoing Substances'!B57,"")</f>
        <v/>
      </c>
      <c r="C55" s="143" t="str">
        <f>IF('Ingoing Substances'!P57="Y",'Ingoing Substances'!I57,"")</f>
        <v/>
      </c>
      <c r="D55" s="143" t="str">
        <f>IF('Ingoing Substances'!P57="Y",'Ingoing Substances'!H57,"")</f>
        <v/>
      </c>
      <c r="E55" s="144"/>
      <c r="F55" s="347"/>
      <c r="G55" s="135" t="str">
        <f>IF(OR(E55=Languages!$A$128,E55=Languages!$B$128),($C$7*C55*F55/100)/100,IF(OR(E55=Languages!$A$129,E55=Languages!$B$129),($C$7*(C55/('Ingoing Substances'!E57/100)))/100,""))</f>
        <v/>
      </c>
      <c r="H55" s="54"/>
      <c r="I55" s="18"/>
      <c r="J55" s="18"/>
      <c r="K55" s="18"/>
      <c r="L55" s="18"/>
      <c r="M55" s="18"/>
      <c r="N55" s="18"/>
      <c r="O55" s="9"/>
      <c r="P55" s="9"/>
      <c r="Q55" s="9"/>
      <c r="R55" s="9"/>
      <c r="S55" s="9"/>
      <c r="T55" s="9"/>
    </row>
    <row r="56" spans="1:20" ht="16" x14ac:dyDescent="0.2">
      <c r="A56" s="130">
        <v>47</v>
      </c>
      <c r="B56" s="148" t="str">
        <f>IF('Ingoing Substances'!P58="Y",'Ingoing Substances'!B58,"")</f>
        <v/>
      </c>
      <c r="C56" s="143" t="str">
        <f>IF('Ingoing Substances'!P58="Y",'Ingoing Substances'!I58,"")</f>
        <v/>
      </c>
      <c r="D56" s="143" t="str">
        <f>IF('Ingoing Substances'!P58="Y",'Ingoing Substances'!H58,"")</f>
        <v/>
      </c>
      <c r="E56" s="144"/>
      <c r="F56" s="347"/>
      <c r="G56" s="135" t="str">
        <f>IF(OR(E56=Languages!$A$128,E56=Languages!$B$128),($C$7*C56*F56/100)/100,IF(OR(E56=Languages!$A$129,E56=Languages!$B$129),($C$7*(C56/('Ingoing Substances'!E58/100)))/100,""))</f>
        <v/>
      </c>
      <c r="H56" s="54"/>
      <c r="I56" s="18"/>
      <c r="J56" s="18"/>
      <c r="K56" s="18"/>
      <c r="L56" s="18"/>
      <c r="M56" s="18"/>
      <c r="N56" s="18"/>
      <c r="O56" s="9"/>
      <c r="P56" s="9"/>
      <c r="Q56" s="9"/>
      <c r="R56" s="9"/>
      <c r="S56" s="9"/>
      <c r="T56" s="9"/>
    </row>
    <row r="57" spans="1:20" ht="16" x14ac:dyDescent="0.2">
      <c r="A57" s="130">
        <v>48</v>
      </c>
      <c r="B57" s="148" t="str">
        <f>IF('Ingoing Substances'!P59="Y",'Ingoing Substances'!B59,"")</f>
        <v/>
      </c>
      <c r="C57" s="143" t="str">
        <f>IF('Ingoing Substances'!P59="Y",'Ingoing Substances'!I59,"")</f>
        <v/>
      </c>
      <c r="D57" s="143" t="str">
        <f>IF('Ingoing Substances'!P59="Y",'Ingoing Substances'!H59,"")</f>
        <v/>
      </c>
      <c r="E57" s="144"/>
      <c r="F57" s="347"/>
      <c r="G57" s="135" t="str">
        <f>IF(OR(E57=Languages!$A$128,E57=Languages!$B$128),($C$7*C57*F57/100)/100,IF(OR(E57=Languages!$A$129,E57=Languages!$B$129),($C$7*(C57/('Ingoing Substances'!E59/100)))/100,""))</f>
        <v/>
      </c>
      <c r="H57" s="54"/>
      <c r="I57" s="18"/>
      <c r="J57" s="18"/>
      <c r="K57" s="18"/>
      <c r="L57" s="18"/>
      <c r="M57" s="18"/>
      <c r="N57" s="18"/>
      <c r="O57" s="9"/>
      <c r="P57" s="9"/>
      <c r="Q57" s="9"/>
      <c r="R57" s="9"/>
      <c r="S57" s="9"/>
      <c r="T57" s="9"/>
    </row>
    <row r="58" spans="1:20" ht="16" x14ac:dyDescent="0.2">
      <c r="A58" s="130">
        <v>49</v>
      </c>
      <c r="B58" s="148" t="str">
        <f>IF('Ingoing Substances'!P60="Y",'Ingoing Substances'!B60,"")</f>
        <v/>
      </c>
      <c r="C58" s="143" t="str">
        <f>IF('Ingoing Substances'!P60="Y",'Ingoing Substances'!I60,"")</f>
        <v/>
      </c>
      <c r="D58" s="143" t="str">
        <f>IF('Ingoing Substances'!P60="Y",'Ingoing Substances'!H60,"")</f>
        <v/>
      </c>
      <c r="E58" s="144"/>
      <c r="F58" s="347"/>
      <c r="G58" s="135" t="str">
        <f>IF(OR(E58=Languages!$A$128,E58=Languages!$B$128),($C$7*C58*F58/100)/100,IF(OR(E58=Languages!$A$129,E58=Languages!$B$129),($C$7*(C58/('Ingoing Substances'!E60/100)))/100,""))</f>
        <v/>
      </c>
      <c r="H58" s="54"/>
      <c r="I58" s="18"/>
      <c r="J58" s="18"/>
      <c r="K58" s="18"/>
      <c r="L58" s="18"/>
      <c r="M58" s="18"/>
      <c r="N58" s="18"/>
      <c r="O58" s="9"/>
      <c r="P58" s="9"/>
      <c r="Q58" s="9"/>
      <c r="R58" s="9"/>
      <c r="S58" s="9"/>
      <c r="T58" s="9"/>
    </row>
    <row r="59" spans="1:20" ht="16" x14ac:dyDescent="0.2">
      <c r="A59" s="130">
        <v>50</v>
      </c>
      <c r="B59" s="148" t="str">
        <f>IF('Ingoing Substances'!P61="Y",'Ingoing Substances'!B61,"")</f>
        <v/>
      </c>
      <c r="C59" s="143" t="str">
        <f>IF('Ingoing Substances'!P61="Y",'Ingoing Substances'!I61,"")</f>
        <v/>
      </c>
      <c r="D59" s="143" t="str">
        <f>IF('Ingoing Substances'!P61="Y",'Ingoing Substances'!H61,"")</f>
        <v/>
      </c>
      <c r="E59" s="144"/>
      <c r="F59" s="347"/>
      <c r="G59" s="135" t="str">
        <f>IF(OR(E59=Languages!$A$128,E59=Languages!$B$128),($C$7*C59*F59/100)/100,IF(OR(E59=Languages!$A$129,E59=Languages!$B$129),($C$7*(C59/('Ingoing Substances'!E61/100)))/100,""))</f>
        <v/>
      </c>
      <c r="H59" s="54"/>
      <c r="I59" s="18"/>
      <c r="J59" s="18"/>
      <c r="K59" s="18"/>
      <c r="L59" s="18"/>
      <c r="M59" s="18"/>
      <c r="N59" s="18"/>
      <c r="O59" s="9"/>
      <c r="P59" s="9"/>
      <c r="Q59" s="9"/>
      <c r="R59" s="9"/>
      <c r="S59" s="9"/>
      <c r="T59" s="9"/>
    </row>
    <row r="60" spans="1:20" s="111" customFormat="1" ht="16" x14ac:dyDescent="0.2">
      <c r="A60" s="136"/>
      <c r="B60" s="145" t="str">
        <f>'Formulation Pre-Products'!B62</f>
        <v>Sum:</v>
      </c>
      <c r="C60" s="146">
        <f t="shared" ref="C60" si="0">SUM(C11:C59)</f>
        <v>0</v>
      </c>
      <c r="D60" s="137"/>
      <c r="E60" s="138"/>
      <c r="F60" s="138"/>
      <c r="G60" s="138"/>
      <c r="H60" s="139"/>
      <c r="I60" s="98"/>
      <c r="J60" s="98"/>
      <c r="K60" s="98"/>
      <c r="L60" s="98"/>
      <c r="M60" s="98"/>
      <c r="N60" s="98"/>
      <c r="O60" s="140"/>
      <c r="P60" s="140"/>
      <c r="Q60" s="140"/>
      <c r="R60" s="140"/>
      <c r="S60" s="140"/>
      <c r="T60" s="140"/>
    </row>
    <row r="61" spans="1:20" s="111" customFormat="1" ht="16" x14ac:dyDescent="0.2">
      <c r="A61" s="138"/>
      <c r="B61" s="50" t="str">
        <f>IF(Product!$C$2=Languages!A3,Languages!A168,Languages!B168)</f>
        <v>3) Only ingoing substances containing palm/palmkernel oil are visible</v>
      </c>
      <c r="C61" s="138"/>
      <c r="D61" s="137"/>
      <c r="E61" s="137"/>
      <c r="F61" s="137"/>
      <c r="G61" s="138"/>
      <c r="H61" s="139"/>
      <c r="I61" s="98"/>
      <c r="J61" s="98"/>
      <c r="K61" s="98"/>
      <c r="L61" s="98"/>
      <c r="M61" s="98"/>
      <c r="N61" s="98"/>
      <c r="O61" s="140"/>
      <c r="P61" s="140"/>
      <c r="Q61" s="140"/>
      <c r="R61" s="140"/>
      <c r="S61" s="140"/>
      <c r="T61" s="140"/>
    </row>
    <row r="62" spans="1:20" s="111" customFormat="1" ht="16" x14ac:dyDescent="0.2">
      <c r="A62" s="138"/>
      <c r="B62" s="137"/>
      <c r="C62" s="138"/>
      <c r="D62" s="137"/>
      <c r="E62" s="137"/>
      <c r="F62" s="137"/>
      <c r="G62" s="138"/>
      <c r="H62" s="139"/>
      <c r="I62" s="98"/>
      <c r="J62" s="98"/>
      <c r="K62" s="98"/>
      <c r="L62" s="98"/>
      <c r="M62" s="98"/>
      <c r="N62" s="98"/>
      <c r="O62" s="140"/>
      <c r="P62" s="140"/>
      <c r="Q62" s="140"/>
      <c r="R62" s="140"/>
      <c r="S62" s="140"/>
      <c r="T62" s="140"/>
    </row>
    <row r="63" spans="1:20" s="111" customFormat="1" ht="46.5" customHeight="1" x14ac:dyDescent="0.2">
      <c r="A63" s="141"/>
      <c r="B63" s="725" t="str">
        <f>'Formulation Pre-Products'!B67:H67</f>
        <v>remarks of the applicant</v>
      </c>
      <c r="C63" s="726"/>
      <c r="D63" s="726"/>
      <c r="E63" s="726"/>
      <c r="F63" s="726"/>
      <c r="G63" s="727"/>
      <c r="H63" s="139"/>
      <c r="I63" s="98"/>
      <c r="J63" s="98"/>
      <c r="K63" s="98"/>
      <c r="L63" s="98"/>
      <c r="M63" s="98"/>
      <c r="N63" s="98"/>
      <c r="O63" s="140"/>
      <c r="P63" s="140"/>
      <c r="Q63" s="140"/>
      <c r="R63" s="140"/>
      <c r="S63" s="140"/>
      <c r="T63" s="140"/>
    </row>
    <row r="64" spans="1:20" ht="16" x14ac:dyDescent="0.2">
      <c r="A64" s="53"/>
      <c r="B64" s="54"/>
      <c r="C64" s="53"/>
      <c r="D64" s="54"/>
      <c r="E64" s="54"/>
      <c r="F64" s="54"/>
      <c r="G64" s="55"/>
      <c r="H64" s="54"/>
      <c r="I64" s="18"/>
      <c r="J64" s="18"/>
      <c r="K64" s="18"/>
      <c r="L64" s="18"/>
      <c r="M64" s="18"/>
      <c r="N64" s="18"/>
      <c r="O64" s="9"/>
      <c r="P64" s="9"/>
      <c r="Q64" s="9"/>
      <c r="R64" s="9"/>
      <c r="S64" s="9"/>
      <c r="T64" s="9"/>
    </row>
    <row r="65" spans="1:20" ht="16" x14ac:dyDescent="0.2">
      <c r="A65" s="53"/>
      <c r="B65" s="54"/>
      <c r="C65" s="53"/>
      <c r="D65" s="54"/>
      <c r="E65" s="54"/>
      <c r="F65" s="54"/>
      <c r="G65" s="55"/>
      <c r="H65" s="54"/>
      <c r="I65" s="18"/>
      <c r="J65" s="18"/>
      <c r="K65" s="18"/>
      <c r="L65" s="18"/>
      <c r="M65" s="18"/>
      <c r="N65" s="18"/>
      <c r="O65" s="9"/>
      <c r="P65" s="9"/>
      <c r="Q65" s="9"/>
      <c r="R65" s="9"/>
      <c r="S65" s="9"/>
      <c r="T65" s="9"/>
    </row>
    <row r="66" spans="1:20" ht="16" x14ac:dyDescent="0.2">
      <c r="A66" s="53"/>
      <c r="B66" s="54"/>
      <c r="C66" s="53"/>
      <c r="D66" s="54"/>
      <c r="E66" s="54"/>
      <c r="F66" s="54"/>
      <c r="G66" s="55"/>
      <c r="H66" s="54"/>
      <c r="I66" s="18"/>
      <c r="J66" s="18"/>
      <c r="K66" s="18"/>
      <c r="L66" s="18"/>
      <c r="M66" s="18"/>
      <c r="N66" s="18"/>
      <c r="O66" s="9"/>
      <c r="P66" s="9"/>
      <c r="Q66" s="9"/>
      <c r="R66" s="9"/>
      <c r="S66" s="9"/>
      <c r="T66" s="9"/>
    </row>
    <row r="67" spans="1:20" ht="16" x14ac:dyDescent="0.2">
      <c r="A67" s="53"/>
      <c r="B67" s="54"/>
      <c r="C67" s="53"/>
      <c r="D67" s="54"/>
      <c r="E67" s="54"/>
      <c r="F67" s="54"/>
      <c r="G67" s="55"/>
      <c r="H67" s="54"/>
      <c r="I67" s="18"/>
      <c r="J67" s="18"/>
      <c r="K67" s="18"/>
      <c r="L67" s="18"/>
      <c r="M67" s="18"/>
      <c r="N67" s="18"/>
      <c r="O67" s="9"/>
      <c r="P67" s="9"/>
      <c r="Q67" s="9"/>
      <c r="R67" s="9"/>
      <c r="S67" s="9"/>
      <c r="T67" s="9"/>
    </row>
    <row r="68" spans="1:20" ht="16" x14ac:dyDescent="0.2">
      <c r="A68" s="53"/>
      <c r="B68" s="54"/>
      <c r="C68" s="53"/>
      <c r="D68" s="54"/>
      <c r="E68" s="54"/>
      <c r="F68" s="54"/>
      <c r="G68" s="55"/>
      <c r="H68" s="54"/>
      <c r="I68" s="18"/>
      <c r="J68" s="18"/>
      <c r="K68" s="18"/>
      <c r="L68" s="18"/>
      <c r="M68" s="18"/>
      <c r="N68" s="18"/>
      <c r="O68" s="9"/>
      <c r="P68" s="9"/>
      <c r="Q68" s="9"/>
      <c r="R68" s="9"/>
      <c r="S68" s="9"/>
      <c r="T68" s="9"/>
    </row>
    <row r="69" spans="1:20" ht="16" x14ac:dyDescent="0.2">
      <c r="A69" s="53"/>
      <c r="B69" s="54"/>
      <c r="C69" s="53"/>
      <c r="D69" s="54"/>
      <c r="E69" s="54"/>
      <c r="F69" s="54"/>
      <c r="G69" s="55"/>
      <c r="H69" s="54"/>
      <c r="I69" s="18"/>
      <c r="J69" s="18"/>
      <c r="K69" s="18"/>
      <c r="L69" s="18"/>
      <c r="M69" s="18"/>
      <c r="N69" s="18"/>
      <c r="O69" s="9"/>
      <c r="P69" s="9"/>
      <c r="Q69" s="9"/>
      <c r="R69" s="9"/>
      <c r="S69" s="9"/>
      <c r="T69" s="9"/>
    </row>
    <row r="70" spans="1:20" ht="16" x14ac:dyDescent="0.2">
      <c r="A70" s="53"/>
      <c r="B70" s="54"/>
      <c r="C70" s="53"/>
      <c r="D70" s="54"/>
      <c r="E70" s="54"/>
      <c r="F70" s="54"/>
      <c r="G70" s="55"/>
      <c r="H70" s="54"/>
      <c r="I70" s="18"/>
      <c r="J70" s="18"/>
      <c r="K70" s="18"/>
      <c r="L70" s="18"/>
      <c r="M70" s="18"/>
      <c r="N70" s="18"/>
      <c r="O70" s="9"/>
      <c r="P70" s="9"/>
      <c r="Q70" s="9"/>
      <c r="R70" s="9"/>
      <c r="S70" s="9"/>
      <c r="T70" s="9"/>
    </row>
    <row r="71" spans="1:20" ht="16" x14ac:dyDescent="0.2">
      <c r="A71" s="53"/>
      <c r="B71" s="54"/>
      <c r="C71" s="53"/>
      <c r="D71" s="54"/>
      <c r="E71" s="54"/>
      <c r="F71" s="54"/>
      <c r="G71" s="55"/>
      <c r="H71" s="54"/>
      <c r="I71" s="18"/>
      <c r="J71" s="18"/>
      <c r="K71" s="18"/>
      <c r="L71" s="18"/>
      <c r="M71" s="18"/>
      <c r="N71" s="18"/>
      <c r="O71" s="9"/>
      <c r="P71" s="9"/>
      <c r="Q71" s="9"/>
      <c r="R71" s="9"/>
      <c r="S71" s="9"/>
      <c r="T71" s="9"/>
    </row>
    <row r="72" spans="1:20" ht="16" x14ac:dyDescent="0.2">
      <c r="A72" s="53"/>
      <c r="B72" s="54"/>
      <c r="C72" s="53"/>
      <c r="D72" s="54"/>
      <c r="E72" s="54"/>
      <c r="F72" s="54"/>
      <c r="G72" s="55"/>
      <c r="H72" s="54"/>
      <c r="I72" s="18"/>
      <c r="J72" s="18"/>
      <c r="K72" s="18"/>
      <c r="L72" s="18"/>
      <c r="M72" s="18"/>
      <c r="N72" s="18"/>
      <c r="O72" s="9"/>
      <c r="P72" s="9"/>
      <c r="Q72" s="9"/>
      <c r="R72" s="9"/>
      <c r="S72" s="9"/>
      <c r="T72" s="9"/>
    </row>
    <row r="73" spans="1:20" ht="16" x14ac:dyDescent="0.2">
      <c r="A73" s="53"/>
      <c r="B73" s="54"/>
      <c r="C73" s="53"/>
      <c r="D73" s="54"/>
      <c r="E73" s="54"/>
      <c r="F73" s="54"/>
      <c r="G73" s="55"/>
      <c r="H73" s="54"/>
      <c r="I73" s="18"/>
      <c r="J73" s="18"/>
      <c r="K73" s="18"/>
      <c r="L73" s="18"/>
      <c r="M73" s="18"/>
      <c r="N73" s="18"/>
      <c r="O73" s="9"/>
      <c r="P73" s="9"/>
      <c r="Q73" s="9"/>
      <c r="R73" s="9"/>
      <c r="S73" s="9"/>
      <c r="T73" s="9"/>
    </row>
    <row r="74" spans="1:20" ht="16" x14ac:dyDescent="0.2">
      <c r="A74" s="53"/>
      <c r="B74" s="54"/>
      <c r="C74" s="53"/>
      <c r="D74" s="54"/>
      <c r="E74" s="54"/>
      <c r="F74" s="54"/>
      <c r="G74" s="55"/>
      <c r="H74" s="54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</row>
    <row r="75" spans="1:20" ht="16" x14ac:dyDescent="0.2">
      <c r="A75" s="53"/>
      <c r="B75" s="54"/>
      <c r="C75" s="53"/>
      <c r="D75" s="54"/>
      <c r="E75" s="54"/>
      <c r="F75" s="54"/>
      <c r="G75" s="55"/>
      <c r="H75" s="54"/>
      <c r="I75" s="18"/>
      <c r="J75" s="18"/>
      <c r="K75" s="18"/>
      <c r="L75" s="18"/>
      <c r="M75" s="18"/>
      <c r="N75" s="18"/>
      <c r="O75" s="9"/>
      <c r="P75" s="9"/>
      <c r="Q75" s="9"/>
      <c r="R75" s="9"/>
      <c r="S75" s="9"/>
      <c r="T75" s="9"/>
    </row>
    <row r="76" spans="1:20" ht="16" x14ac:dyDescent="0.2">
      <c r="A76" s="53"/>
      <c r="B76" s="54"/>
      <c r="C76" s="53"/>
      <c r="D76" s="54"/>
      <c r="E76" s="54"/>
      <c r="F76" s="54"/>
      <c r="G76" s="55"/>
      <c r="H76" s="54"/>
      <c r="I76" s="18"/>
      <c r="J76" s="18"/>
      <c r="K76" s="18"/>
      <c r="L76" s="18"/>
      <c r="M76" s="18"/>
      <c r="N76" s="18"/>
      <c r="O76" s="9"/>
      <c r="P76" s="9"/>
      <c r="Q76" s="9"/>
      <c r="R76" s="9"/>
      <c r="S76" s="9"/>
      <c r="T76" s="9"/>
    </row>
    <row r="77" spans="1:20" ht="16" x14ac:dyDescent="0.2">
      <c r="A77" s="53"/>
      <c r="B77" s="54"/>
      <c r="C77" s="53"/>
      <c r="D77" s="54"/>
      <c r="E77" s="54"/>
      <c r="F77" s="54"/>
      <c r="G77" s="55"/>
      <c r="H77" s="54"/>
      <c r="I77" s="18"/>
      <c r="J77" s="18"/>
      <c r="K77" s="18"/>
      <c r="L77" s="18"/>
      <c r="M77" s="18"/>
      <c r="N77" s="18"/>
      <c r="O77" s="9"/>
      <c r="P77" s="9"/>
      <c r="Q77" s="9"/>
      <c r="R77" s="9"/>
      <c r="S77" s="9"/>
      <c r="T77" s="9"/>
    </row>
    <row r="78" spans="1:20" ht="16" x14ac:dyDescent="0.2">
      <c r="A78" s="53"/>
      <c r="B78" s="54"/>
      <c r="C78" s="53"/>
      <c r="D78" s="54"/>
      <c r="E78" s="54"/>
      <c r="F78" s="54"/>
      <c r="G78" s="55"/>
      <c r="H78" s="54"/>
      <c r="I78" s="18"/>
      <c r="J78" s="18"/>
      <c r="K78" s="18"/>
      <c r="L78" s="18"/>
      <c r="M78" s="18"/>
      <c r="N78" s="18"/>
      <c r="O78" s="9"/>
      <c r="P78" s="9"/>
      <c r="Q78" s="9"/>
      <c r="R78" s="9"/>
      <c r="S78" s="9"/>
      <c r="T78" s="9"/>
    </row>
    <row r="79" spans="1:20" ht="16" x14ac:dyDescent="0.2">
      <c r="A79" s="53"/>
      <c r="B79" s="54"/>
      <c r="C79" s="53"/>
      <c r="D79" s="54"/>
      <c r="E79" s="54"/>
      <c r="F79" s="54"/>
      <c r="G79" s="55"/>
      <c r="H79" s="54"/>
      <c r="I79" s="18"/>
      <c r="J79" s="18"/>
      <c r="K79" s="18"/>
      <c r="L79" s="18"/>
      <c r="M79" s="18"/>
      <c r="N79" s="18"/>
      <c r="O79" s="9"/>
      <c r="P79" s="9"/>
      <c r="Q79" s="9"/>
      <c r="R79" s="9"/>
      <c r="S79" s="9"/>
      <c r="T79" s="9"/>
    </row>
    <row r="80" spans="1:20" ht="16" x14ac:dyDescent="0.2">
      <c r="A80" s="53"/>
      <c r="B80" s="54"/>
      <c r="C80" s="53"/>
      <c r="D80" s="54"/>
      <c r="E80" s="54"/>
      <c r="F80" s="54"/>
      <c r="G80" s="55"/>
      <c r="H80" s="54"/>
      <c r="I80" s="18"/>
      <c r="J80" s="18"/>
      <c r="K80" s="18"/>
      <c r="L80" s="18"/>
      <c r="M80" s="18"/>
      <c r="N80" s="18"/>
      <c r="O80" s="9"/>
      <c r="P80" s="9"/>
      <c r="Q80" s="9"/>
      <c r="R80" s="9"/>
      <c r="S80" s="9"/>
      <c r="T80" s="9"/>
    </row>
    <row r="81" spans="1:20" ht="16" x14ac:dyDescent="0.2">
      <c r="A81" s="53"/>
      <c r="B81" s="54"/>
      <c r="C81" s="53"/>
      <c r="D81" s="54"/>
      <c r="E81" s="54"/>
      <c r="F81" s="54"/>
      <c r="G81" s="55"/>
      <c r="H81" s="54"/>
      <c r="I81" s="18"/>
      <c r="J81" s="18"/>
      <c r="K81" s="18"/>
      <c r="L81" s="18"/>
      <c r="M81" s="18"/>
      <c r="N81" s="18"/>
      <c r="O81" s="9"/>
      <c r="P81" s="9"/>
      <c r="Q81" s="9"/>
      <c r="R81" s="9"/>
      <c r="S81" s="9"/>
      <c r="T81" s="9"/>
    </row>
    <row r="82" spans="1:20" ht="16" x14ac:dyDescent="0.2">
      <c r="A82" s="53"/>
      <c r="B82" s="54"/>
      <c r="C82" s="53"/>
      <c r="D82" s="54"/>
      <c r="E82" s="54"/>
      <c r="F82" s="54"/>
      <c r="G82" s="55"/>
      <c r="H82" s="54"/>
      <c r="I82" s="18"/>
      <c r="J82" s="18"/>
      <c r="K82" s="18"/>
      <c r="L82" s="18"/>
      <c r="M82" s="18"/>
      <c r="N82" s="18"/>
      <c r="O82" s="9"/>
      <c r="P82" s="9"/>
      <c r="Q82" s="9"/>
      <c r="R82" s="9"/>
      <c r="S82" s="9"/>
      <c r="T82" s="9"/>
    </row>
    <row r="83" spans="1:20" ht="16" x14ac:dyDescent="0.2">
      <c r="A83" s="53"/>
      <c r="B83" s="54"/>
      <c r="C83" s="53"/>
      <c r="D83" s="54"/>
      <c r="E83" s="54"/>
      <c r="F83" s="54"/>
      <c r="G83" s="55"/>
      <c r="H83" s="54"/>
      <c r="I83" s="18"/>
      <c r="J83" s="18"/>
      <c r="K83" s="18"/>
      <c r="L83" s="18"/>
      <c r="M83" s="18"/>
      <c r="N83" s="18"/>
      <c r="O83" s="9"/>
      <c r="P83" s="9"/>
      <c r="Q83" s="9"/>
      <c r="R83" s="9"/>
      <c r="S83" s="9"/>
      <c r="T83" s="9"/>
    </row>
    <row r="84" spans="1:20" ht="16" x14ac:dyDescent="0.2">
      <c r="A84" s="53"/>
      <c r="B84" s="54"/>
      <c r="C84" s="53"/>
      <c r="D84" s="54"/>
      <c r="E84" s="54"/>
      <c r="F84" s="54"/>
      <c r="G84" s="55"/>
      <c r="H84" s="54"/>
      <c r="I84" s="18"/>
      <c r="J84" s="18"/>
      <c r="K84" s="18"/>
      <c r="L84" s="18"/>
      <c r="M84" s="18"/>
      <c r="N84" s="18"/>
      <c r="O84" s="9"/>
      <c r="P84" s="9"/>
      <c r="Q84" s="9"/>
      <c r="R84" s="9"/>
      <c r="S84" s="9"/>
      <c r="T84" s="9"/>
    </row>
    <row r="85" spans="1:20" ht="16" x14ac:dyDescent="0.2">
      <c r="A85" s="53"/>
      <c r="B85" s="54"/>
      <c r="C85" s="53"/>
      <c r="D85" s="54"/>
      <c r="E85" s="54"/>
      <c r="F85" s="54"/>
      <c r="G85" s="55"/>
      <c r="H85" s="54"/>
      <c r="I85" s="18"/>
      <c r="J85" s="18"/>
      <c r="K85" s="18"/>
      <c r="L85" s="18"/>
      <c r="M85" s="18"/>
      <c r="N85" s="18"/>
      <c r="O85" s="9"/>
      <c r="P85" s="9"/>
      <c r="Q85" s="9"/>
      <c r="R85" s="9"/>
      <c r="S85" s="9"/>
      <c r="T85" s="9"/>
    </row>
    <row r="86" spans="1:20" ht="16" x14ac:dyDescent="0.2">
      <c r="A86" s="97"/>
      <c r="B86" s="9"/>
      <c r="C86" s="97"/>
      <c r="D86" s="9"/>
      <c r="E86" s="9"/>
      <c r="F86" s="9"/>
      <c r="G86" s="34"/>
      <c r="H86" s="54"/>
      <c r="I86" s="18"/>
      <c r="J86" s="18"/>
      <c r="K86" s="18"/>
      <c r="L86" s="18"/>
      <c r="M86" s="18"/>
      <c r="N86" s="18"/>
      <c r="O86" s="9"/>
      <c r="P86" s="9"/>
      <c r="Q86" s="9"/>
      <c r="R86" s="9"/>
      <c r="S86" s="9"/>
      <c r="T86" s="9"/>
    </row>
    <row r="87" spans="1:20" ht="16" x14ac:dyDescent="0.2">
      <c r="A87" s="97"/>
      <c r="B87" s="9"/>
      <c r="C87" s="97"/>
      <c r="D87" s="9"/>
      <c r="E87" s="9"/>
      <c r="F87" s="9"/>
      <c r="G87" s="34"/>
      <c r="H87" s="54"/>
      <c r="I87" s="18"/>
      <c r="J87" s="18"/>
      <c r="K87" s="18"/>
      <c r="L87" s="18"/>
      <c r="M87" s="18"/>
      <c r="N87" s="18"/>
      <c r="O87" s="9"/>
      <c r="P87" s="9"/>
      <c r="Q87" s="9"/>
      <c r="R87" s="9"/>
      <c r="S87" s="9"/>
      <c r="T87" s="9"/>
    </row>
    <row r="88" spans="1:20" ht="16" x14ac:dyDescent="0.2">
      <c r="A88" s="97"/>
      <c r="B88" s="9"/>
      <c r="C88" s="97"/>
      <c r="D88" s="9"/>
      <c r="E88" s="9"/>
      <c r="F88" s="9"/>
      <c r="G88" s="34"/>
      <c r="H88" s="54"/>
      <c r="I88" s="18"/>
      <c r="J88" s="18"/>
      <c r="K88" s="18"/>
      <c r="L88" s="18"/>
      <c r="M88" s="18"/>
      <c r="N88" s="18"/>
      <c r="O88" s="9"/>
      <c r="P88" s="9"/>
      <c r="Q88" s="9"/>
      <c r="R88" s="9"/>
      <c r="S88" s="9"/>
      <c r="T88" s="9"/>
    </row>
    <row r="89" spans="1:20" ht="16" x14ac:dyDescent="0.2">
      <c r="A89" s="97"/>
      <c r="B89" s="9"/>
      <c r="C89" s="97"/>
      <c r="D89" s="9"/>
      <c r="E89" s="9"/>
      <c r="F89" s="9"/>
      <c r="G89" s="34"/>
      <c r="H89" s="54"/>
      <c r="I89" s="18"/>
      <c r="J89" s="18"/>
      <c r="K89" s="18"/>
      <c r="L89" s="18"/>
      <c r="M89" s="18"/>
      <c r="N89" s="18"/>
      <c r="O89" s="9"/>
      <c r="P89" s="9"/>
      <c r="Q89" s="9"/>
      <c r="R89" s="9"/>
      <c r="S89" s="9"/>
      <c r="T89" s="9"/>
    </row>
    <row r="90" spans="1:20" ht="16" x14ac:dyDescent="0.2">
      <c r="A90" s="97"/>
      <c r="B90" s="9"/>
      <c r="C90" s="97"/>
      <c r="D90" s="9"/>
      <c r="E90" s="9"/>
      <c r="F90" s="9"/>
      <c r="G90" s="34"/>
      <c r="H90" s="54"/>
      <c r="I90" s="18"/>
      <c r="J90" s="18"/>
      <c r="K90" s="18"/>
      <c r="L90" s="18"/>
      <c r="M90" s="18"/>
      <c r="N90" s="18"/>
      <c r="O90" s="9"/>
      <c r="P90" s="9"/>
      <c r="Q90" s="9"/>
      <c r="R90" s="9"/>
      <c r="S90" s="9"/>
      <c r="T90" s="9"/>
    </row>
    <row r="91" spans="1:20" ht="16" x14ac:dyDescent="0.2">
      <c r="A91" s="97"/>
      <c r="B91" s="9"/>
      <c r="C91" s="97"/>
      <c r="D91" s="9"/>
      <c r="E91" s="9"/>
      <c r="F91" s="9"/>
      <c r="G91" s="34"/>
      <c r="H91" s="54"/>
      <c r="I91" s="18"/>
      <c r="J91" s="18"/>
      <c r="K91" s="18"/>
      <c r="L91" s="18"/>
      <c r="M91" s="18"/>
      <c r="N91" s="18"/>
      <c r="O91" s="9"/>
      <c r="P91" s="9"/>
      <c r="Q91" s="9"/>
      <c r="R91" s="9"/>
      <c r="S91" s="9"/>
      <c r="T91" s="9"/>
    </row>
    <row r="92" spans="1:20" ht="16" x14ac:dyDescent="0.2">
      <c r="A92" s="97"/>
      <c r="B92" s="9"/>
      <c r="C92" s="97"/>
      <c r="D92" s="9"/>
      <c r="E92" s="9"/>
      <c r="F92" s="9"/>
      <c r="G92" s="34"/>
      <c r="H92" s="54"/>
      <c r="I92" s="18"/>
      <c r="J92" s="18"/>
      <c r="K92" s="18"/>
      <c r="L92" s="18"/>
      <c r="M92" s="18"/>
      <c r="N92" s="18"/>
      <c r="O92" s="9"/>
      <c r="P92" s="9"/>
      <c r="Q92" s="9"/>
      <c r="R92" s="9"/>
      <c r="S92" s="9"/>
      <c r="T92" s="9"/>
    </row>
    <row r="93" spans="1:20" ht="16" x14ac:dyDescent="0.2">
      <c r="A93" s="97"/>
      <c r="B93" s="9"/>
      <c r="C93" s="97"/>
      <c r="D93" s="9"/>
      <c r="E93" s="9"/>
      <c r="F93" s="9"/>
      <c r="G93" s="34"/>
      <c r="H93" s="54"/>
      <c r="I93" s="18"/>
      <c r="J93" s="18"/>
      <c r="K93" s="18"/>
      <c r="L93" s="18"/>
      <c r="M93" s="18"/>
      <c r="N93" s="18"/>
      <c r="O93" s="9"/>
      <c r="P93" s="9"/>
      <c r="Q93" s="9"/>
      <c r="R93" s="9"/>
      <c r="S93" s="9"/>
      <c r="T93" s="9"/>
    </row>
    <row r="94" spans="1:20" ht="16" x14ac:dyDescent="0.2">
      <c r="A94" s="97"/>
      <c r="B94" s="9"/>
      <c r="C94" s="97"/>
      <c r="D94" s="9"/>
      <c r="E94" s="9"/>
      <c r="F94" s="9"/>
      <c r="G94" s="34"/>
      <c r="H94" s="54"/>
      <c r="I94" s="18"/>
      <c r="J94" s="18"/>
      <c r="K94" s="18"/>
      <c r="L94" s="18"/>
      <c r="M94" s="18"/>
      <c r="N94" s="18"/>
      <c r="O94" s="9"/>
      <c r="P94" s="9"/>
      <c r="Q94" s="9"/>
      <c r="R94" s="9"/>
      <c r="S94" s="9"/>
      <c r="T94" s="9"/>
    </row>
    <row r="95" spans="1:20" ht="16" x14ac:dyDescent="0.2">
      <c r="A95" s="97"/>
      <c r="B95" s="9"/>
      <c r="C95" s="97"/>
      <c r="D95" s="9"/>
      <c r="E95" s="9"/>
      <c r="F95" s="9"/>
      <c r="G95" s="34"/>
      <c r="H95" s="54"/>
      <c r="I95" s="18"/>
      <c r="J95" s="18"/>
      <c r="K95" s="18"/>
      <c r="L95" s="18"/>
      <c r="M95" s="18"/>
      <c r="N95" s="18"/>
      <c r="O95" s="9"/>
      <c r="P95" s="9"/>
      <c r="Q95" s="9"/>
      <c r="R95" s="9"/>
      <c r="S95" s="9"/>
      <c r="T95" s="9"/>
    </row>
    <row r="96" spans="1:20" ht="16" x14ac:dyDescent="0.2">
      <c r="A96" s="97"/>
      <c r="B96" s="9"/>
      <c r="C96" s="97"/>
      <c r="D96" s="9"/>
      <c r="E96" s="9"/>
      <c r="F96" s="9"/>
      <c r="G96" s="34"/>
      <c r="H96" s="54"/>
      <c r="I96" s="18"/>
      <c r="J96" s="18"/>
      <c r="K96" s="18"/>
      <c r="L96" s="18"/>
      <c r="M96" s="18"/>
      <c r="N96" s="18"/>
      <c r="O96" s="9"/>
      <c r="P96" s="9"/>
      <c r="Q96" s="9"/>
      <c r="R96" s="9"/>
      <c r="S96" s="9"/>
      <c r="T96" s="9"/>
    </row>
    <row r="97" spans="1:20" ht="16" x14ac:dyDescent="0.2">
      <c r="A97" s="97"/>
      <c r="B97" s="9"/>
      <c r="C97" s="97"/>
      <c r="D97" s="9"/>
      <c r="E97" s="9"/>
      <c r="F97" s="9"/>
      <c r="G97" s="34"/>
      <c r="H97" s="54"/>
      <c r="I97" s="18"/>
      <c r="J97" s="18"/>
      <c r="K97" s="18"/>
      <c r="L97" s="18"/>
      <c r="M97" s="18"/>
      <c r="N97" s="18"/>
      <c r="O97" s="9"/>
      <c r="P97" s="9"/>
      <c r="Q97" s="9"/>
      <c r="R97" s="9"/>
      <c r="S97" s="9"/>
      <c r="T97" s="9"/>
    </row>
    <row r="98" spans="1:20" ht="16" x14ac:dyDescent="0.2">
      <c r="A98" s="97"/>
      <c r="B98" s="9"/>
      <c r="C98" s="97"/>
      <c r="D98" s="9"/>
      <c r="E98" s="9"/>
      <c r="F98" s="9"/>
      <c r="G98" s="34"/>
      <c r="H98" s="54"/>
      <c r="I98" s="18"/>
      <c r="J98" s="18"/>
      <c r="K98" s="18"/>
      <c r="L98" s="18"/>
      <c r="M98" s="18"/>
      <c r="N98" s="18"/>
      <c r="O98" s="9"/>
      <c r="P98" s="9"/>
      <c r="Q98" s="9"/>
      <c r="R98" s="9"/>
      <c r="S98" s="9"/>
      <c r="T98" s="9"/>
    </row>
    <row r="99" spans="1:20" ht="16" x14ac:dyDescent="0.2">
      <c r="A99" s="97"/>
      <c r="B99" s="9"/>
      <c r="C99" s="97"/>
      <c r="D99" s="9"/>
      <c r="E99" s="9"/>
      <c r="F99" s="9"/>
      <c r="G99" s="34"/>
      <c r="H99" s="54"/>
      <c r="I99" s="18"/>
      <c r="J99" s="18"/>
      <c r="K99" s="18"/>
      <c r="L99" s="18"/>
      <c r="M99" s="18"/>
      <c r="N99" s="18"/>
      <c r="O99" s="9"/>
      <c r="P99" s="9"/>
      <c r="Q99" s="9"/>
      <c r="R99" s="9"/>
      <c r="S99" s="9"/>
      <c r="T99" s="9"/>
    </row>
    <row r="100" spans="1:20" ht="16" x14ac:dyDescent="0.2">
      <c r="A100" s="97"/>
      <c r="B100" s="9"/>
      <c r="C100" s="97"/>
      <c r="D100" s="9"/>
      <c r="E100" s="9"/>
      <c r="F100" s="9"/>
      <c r="G100" s="34"/>
      <c r="H100" s="54"/>
      <c r="I100" s="18"/>
      <c r="J100" s="18"/>
      <c r="K100" s="18"/>
      <c r="L100" s="18"/>
      <c r="M100" s="18"/>
      <c r="N100" s="18"/>
      <c r="O100" s="9"/>
      <c r="P100" s="9"/>
      <c r="Q100" s="9"/>
      <c r="R100" s="9"/>
      <c r="S100" s="9"/>
      <c r="T100" s="9"/>
    </row>
    <row r="101" spans="1:20" ht="16" x14ac:dyDescent="0.2">
      <c r="A101" s="97"/>
      <c r="B101" s="9"/>
      <c r="C101" s="97"/>
      <c r="D101" s="9"/>
      <c r="E101" s="9"/>
      <c r="F101" s="9"/>
      <c r="G101" s="34"/>
      <c r="H101" s="54"/>
      <c r="I101" s="18"/>
      <c r="J101" s="18"/>
      <c r="K101" s="18"/>
      <c r="L101" s="18"/>
      <c r="M101" s="18"/>
      <c r="N101" s="18"/>
      <c r="O101" s="9"/>
      <c r="P101" s="9"/>
      <c r="Q101" s="9"/>
      <c r="R101" s="9"/>
      <c r="S101" s="9"/>
      <c r="T101" s="9"/>
    </row>
    <row r="102" spans="1:20" ht="16" x14ac:dyDescent="0.2">
      <c r="A102" s="97"/>
      <c r="B102" s="9"/>
      <c r="C102" s="97"/>
      <c r="D102" s="9"/>
      <c r="E102" s="9"/>
      <c r="F102" s="9"/>
      <c r="G102" s="34"/>
      <c r="H102" s="54"/>
      <c r="I102" s="18"/>
      <c r="J102" s="18"/>
      <c r="K102" s="18"/>
      <c r="L102" s="18"/>
      <c r="M102" s="18"/>
      <c r="N102" s="18"/>
      <c r="O102" s="9"/>
      <c r="P102" s="9"/>
      <c r="Q102" s="9"/>
      <c r="R102" s="9"/>
      <c r="S102" s="9"/>
      <c r="T102" s="9"/>
    </row>
    <row r="103" spans="1:20" ht="16" x14ac:dyDescent="0.2">
      <c r="A103" s="97"/>
      <c r="B103" s="9"/>
      <c r="C103" s="97"/>
      <c r="D103" s="9"/>
      <c r="E103" s="9"/>
      <c r="F103" s="9"/>
      <c r="G103" s="34"/>
      <c r="H103" s="54"/>
      <c r="I103" s="18"/>
      <c r="J103" s="18"/>
      <c r="K103" s="18"/>
      <c r="L103" s="18"/>
      <c r="M103" s="18"/>
      <c r="N103" s="18"/>
      <c r="O103" s="9"/>
      <c r="P103" s="9"/>
      <c r="Q103" s="9"/>
      <c r="R103" s="9"/>
      <c r="S103" s="9"/>
      <c r="T103" s="9"/>
    </row>
    <row r="104" spans="1:20" ht="16" x14ac:dyDescent="0.2">
      <c r="A104" s="97"/>
      <c r="B104" s="9"/>
      <c r="C104" s="97"/>
      <c r="D104" s="9"/>
      <c r="E104" s="9"/>
      <c r="F104" s="9"/>
      <c r="G104" s="34"/>
      <c r="H104" s="54"/>
      <c r="I104" s="18"/>
      <c r="J104" s="18"/>
      <c r="K104" s="18"/>
      <c r="L104" s="18"/>
      <c r="M104" s="18"/>
      <c r="N104" s="18"/>
      <c r="O104" s="9"/>
      <c r="P104" s="9"/>
      <c r="Q104" s="9"/>
      <c r="R104" s="9"/>
      <c r="S104" s="9"/>
      <c r="T104" s="9"/>
    </row>
    <row r="105" spans="1:20" ht="16" x14ac:dyDescent="0.2">
      <c r="A105" s="97"/>
      <c r="B105" s="9"/>
      <c r="C105" s="97"/>
      <c r="D105" s="9"/>
      <c r="E105" s="9"/>
      <c r="F105" s="9"/>
      <c r="G105" s="34"/>
      <c r="H105" s="54"/>
      <c r="I105" s="18"/>
      <c r="J105" s="18"/>
      <c r="K105" s="18"/>
      <c r="L105" s="18"/>
      <c r="M105" s="18"/>
      <c r="N105" s="18"/>
      <c r="O105" s="9"/>
      <c r="P105" s="9"/>
      <c r="Q105" s="9"/>
      <c r="R105" s="9"/>
      <c r="S105" s="9"/>
      <c r="T105" s="9"/>
    </row>
    <row r="106" spans="1:20" ht="16" x14ac:dyDescent="0.2">
      <c r="A106" s="97"/>
      <c r="B106" s="9"/>
      <c r="C106" s="97"/>
      <c r="D106" s="9"/>
      <c r="E106" s="9"/>
      <c r="F106" s="9"/>
      <c r="G106" s="34"/>
      <c r="H106" s="54"/>
      <c r="I106" s="18"/>
      <c r="J106" s="18"/>
      <c r="K106" s="18"/>
      <c r="L106" s="18"/>
      <c r="M106" s="18"/>
      <c r="N106" s="18"/>
      <c r="O106" s="9"/>
      <c r="P106" s="9"/>
      <c r="Q106" s="9"/>
      <c r="R106" s="9"/>
      <c r="S106" s="9"/>
      <c r="T106" s="9"/>
    </row>
    <row r="107" spans="1:20" ht="16" x14ac:dyDescent="0.2">
      <c r="A107" s="97"/>
      <c r="B107" s="9"/>
      <c r="C107" s="97"/>
      <c r="D107" s="9"/>
      <c r="E107" s="9"/>
      <c r="F107" s="9"/>
      <c r="G107" s="34"/>
      <c r="H107" s="54"/>
      <c r="I107" s="18"/>
      <c r="J107" s="18"/>
      <c r="K107" s="18"/>
      <c r="L107" s="18"/>
      <c r="M107" s="18"/>
      <c r="N107" s="18"/>
      <c r="O107" s="9"/>
      <c r="P107" s="9"/>
      <c r="Q107" s="9"/>
      <c r="R107" s="9"/>
      <c r="S107" s="9"/>
      <c r="T107" s="9"/>
    </row>
    <row r="108" spans="1:20" ht="16" x14ac:dyDescent="0.2">
      <c r="A108" s="97"/>
      <c r="B108" s="9"/>
      <c r="C108" s="97"/>
      <c r="D108" s="9"/>
      <c r="E108" s="9"/>
      <c r="F108" s="9"/>
      <c r="G108" s="34"/>
      <c r="H108" s="54"/>
      <c r="I108" s="18"/>
      <c r="J108" s="18"/>
      <c r="K108" s="18"/>
      <c r="L108" s="18"/>
      <c r="M108" s="18"/>
      <c r="N108" s="18"/>
      <c r="O108" s="9"/>
      <c r="P108" s="9"/>
      <c r="Q108" s="9"/>
      <c r="R108" s="9"/>
      <c r="S108" s="9"/>
      <c r="T108" s="9"/>
    </row>
    <row r="109" spans="1:20" ht="16" x14ac:dyDescent="0.2">
      <c r="A109" s="97"/>
      <c r="B109" s="9"/>
      <c r="C109" s="97"/>
      <c r="D109" s="9"/>
      <c r="E109" s="9"/>
      <c r="F109" s="9"/>
      <c r="G109" s="34"/>
      <c r="H109" s="54"/>
      <c r="I109" s="18"/>
      <c r="J109" s="18"/>
      <c r="K109" s="18"/>
      <c r="L109" s="18"/>
      <c r="M109" s="18"/>
      <c r="N109" s="18"/>
      <c r="O109" s="9"/>
      <c r="P109" s="9"/>
      <c r="Q109" s="9"/>
      <c r="R109" s="9"/>
      <c r="S109" s="9"/>
      <c r="T109" s="9"/>
    </row>
    <row r="110" spans="1:20" ht="16" x14ac:dyDescent="0.2">
      <c r="A110" s="97"/>
      <c r="B110" s="9"/>
      <c r="C110" s="97"/>
      <c r="D110" s="9"/>
      <c r="E110" s="9"/>
      <c r="F110" s="9"/>
      <c r="G110" s="34"/>
      <c r="H110" s="54"/>
      <c r="I110" s="18"/>
      <c r="J110" s="18"/>
      <c r="K110" s="18"/>
      <c r="L110" s="18"/>
      <c r="M110" s="18"/>
      <c r="N110" s="18"/>
      <c r="O110" s="9"/>
      <c r="P110" s="9"/>
      <c r="Q110" s="9"/>
      <c r="R110" s="9"/>
      <c r="S110" s="9"/>
      <c r="T110" s="9"/>
    </row>
    <row r="111" spans="1:20" ht="16" x14ac:dyDescent="0.2">
      <c r="A111" s="97"/>
      <c r="B111" s="9"/>
      <c r="C111" s="97"/>
      <c r="D111" s="9"/>
      <c r="E111" s="9"/>
      <c r="F111" s="9"/>
      <c r="G111" s="34"/>
      <c r="H111" s="54"/>
      <c r="I111" s="18"/>
      <c r="J111" s="18"/>
      <c r="K111" s="18"/>
      <c r="L111" s="18"/>
      <c r="M111" s="18"/>
      <c r="N111" s="18"/>
      <c r="O111" s="9"/>
      <c r="P111" s="9"/>
      <c r="Q111" s="9"/>
      <c r="R111" s="9"/>
      <c r="S111" s="9"/>
      <c r="T111" s="9"/>
    </row>
    <row r="112" spans="1:20" ht="16" x14ac:dyDescent="0.2">
      <c r="A112" s="97"/>
      <c r="B112" s="9"/>
      <c r="C112" s="97"/>
      <c r="D112" s="9"/>
      <c r="E112" s="9"/>
      <c r="F112" s="9"/>
      <c r="G112" s="34"/>
      <c r="H112" s="54"/>
      <c r="I112" s="18"/>
      <c r="J112" s="18"/>
      <c r="K112" s="18"/>
      <c r="L112" s="18"/>
      <c r="M112" s="18"/>
      <c r="N112" s="18"/>
      <c r="O112" s="9"/>
      <c r="P112" s="9"/>
      <c r="Q112" s="9"/>
      <c r="R112" s="9"/>
      <c r="S112" s="9"/>
      <c r="T112" s="9"/>
    </row>
    <row r="113" spans="1:20" ht="16" x14ac:dyDescent="0.2">
      <c r="A113" s="97"/>
      <c r="B113" s="9"/>
      <c r="C113" s="97"/>
      <c r="D113" s="9"/>
      <c r="E113" s="9"/>
      <c r="F113" s="9"/>
      <c r="G113" s="34"/>
      <c r="H113" s="54"/>
      <c r="I113" s="18"/>
      <c r="J113" s="18"/>
      <c r="K113" s="18"/>
      <c r="L113" s="18"/>
      <c r="M113" s="18"/>
      <c r="N113" s="18"/>
      <c r="O113" s="9"/>
      <c r="P113" s="9"/>
      <c r="Q113" s="9"/>
      <c r="R113" s="9"/>
      <c r="S113" s="9"/>
      <c r="T113" s="9"/>
    </row>
    <row r="114" spans="1:20" ht="16" x14ac:dyDescent="0.2">
      <c r="A114" s="97"/>
      <c r="B114" s="9"/>
      <c r="C114" s="97"/>
      <c r="D114" s="9"/>
      <c r="E114" s="9"/>
      <c r="F114" s="9"/>
      <c r="G114" s="34"/>
      <c r="H114" s="54"/>
      <c r="I114" s="18"/>
      <c r="J114" s="18"/>
      <c r="K114" s="18"/>
      <c r="L114" s="18"/>
      <c r="M114" s="18"/>
      <c r="N114" s="18"/>
      <c r="O114" s="9"/>
      <c r="P114" s="9"/>
      <c r="Q114" s="9"/>
      <c r="R114" s="9"/>
      <c r="S114" s="9"/>
      <c r="T114" s="9"/>
    </row>
    <row r="115" spans="1:20" ht="16" x14ac:dyDescent="0.2">
      <c r="H115" s="54"/>
      <c r="I115" s="18"/>
      <c r="J115" s="18"/>
      <c r="K115" s="18"/>
      <c r="L115" s="18"/>
      <c r="M115" s="18"/>
      <c r="N115" s="18"/>
    </row>
    <row r="116" spans="1:20" ht="16" x14ac:dyDescent="0.2">
      <c r="H116" s="54"/>
      <c r="I116" s="18"/>
      <c r="J116" s="18"/>
      <c r="K116" s="18"/>
      <c r="L116" s="18"/>
      <c r="M116" s="18"/>
      <c r="N116" s="18"/>
    </row>
    <row r="117" spans="1:20" ht="16" x14ac:dyDescent="0.2">
      <c r="H117" s="54"/>
      <c r="I117" s="18"/>
      <c r="J117" s="18"/>
      <c r="K117" s="18"/>
      <c r="L117" s="18"/>
      <c r="M117" s="18"/>
      <c r="N117" s="18"/>
    </row>
    <row r="118" spans="1:20" ht="16" x14ac:dyDescent="0.2">
      <c r="H118" s="54"/>
      <c r="I118" s="18"/>
      <c r="J118" s="18"/>
      <c r="K118" s="18"/>
      <c r="L118" s="18"/>
      <c r="M118" s="18"/>
      <c r="N118" s="18"/>
    </row>
    <row r="119" spans="1:20" ht="16" x14ac:dyDescent="0.2">
      <c r="H119" s="54"/>
      <c r="I119" s="18"/>
      <c r="J119" s="18"/>
      <c r="K119" s="18"/>
      <c r="L119" s="18"/>
      <c r="M119" s="18"/>
      <c r="N119" s="18"/>
    </row>
    <row r="120" spans="1:20" ht="16" x14ac:dyDescent="0.2">
      <c r="H120" s="54"/>
      <c r="I120" s="18"/>
      <c r="J120" s="18"/>
      <c r="K120" s="18"/>
      <c r="L120" s="18"/>
      <c r="M120" s="18"/>
      <c r="N120" s="18"/>
    </row>
    <row r="121" spans="1:20" ht="16" x14ac:dyDescent="0.2">
      <c r="H121" s="54"/>
      <c r="I121" s="18"/>
      <c r="J121" s="18"/>
      <c r="K121" s="18"/>
      <c r="L121" s="18"/>
      <c r="M121" s="18"/>
      <c r="N121" s="18"/>
    </row>
    <row r="122" spans="1:20" ht="16" x14ac:dyDescent="0.2">
      <c r="H122" s="54"/>
      <c r="I122" s="18"/>
      <c r="J122" s="18"/>
      <c r="K122" s="18"/>
      <c r="L122" s="18"/>
      <c r="M122" s="18"/>
      <c r="N122" s="18"/>
    </row>
    <row r="123" spans="1:20" ht="16" x14ac:dyDescent="0.2">
      <c r="H123" s="54"/>
      <c r="I123" s="18"/>
      <c r="J123" s="18"/>
      <c r="K123" s="18"/>
      <c r="L123" s="18"/>
      <c r="M123" s="18"/>
      <c r="N123" s="18"/>
    </row>
    <row r="124" spans="1:20" ht="16" x14ac:dyDescent="0.2">
      <c r="H124" s="54"/>
      <c r="I124" s="18"/>
      <c r="J124" s="18"/>
      <c r="K124" s="18"/>
      <c r="L124" s="18"/>
      <c r="M124" s="18"/>
      <c r="N124" s="18"/>
    </row>
    <row r="125" spans="1:20" ht="16" x14ac:dyDescent="0.2">
      <c r="H125" s="54"/>
      <c r="I125" s="18"/>
      <c r="J125" s="18"/>
      <c r="K125" s="18"/>
      <c r="L125" s="18"/>
      <c r="M125" s="18"/>
      <c r="N125" s="18"/>
    </row>
    <row r="126" spans="1:20" ht="16" x14ac:dyDescent="0.2">
      <c r="H126" s="54"/>
      <c r="I126" s="18"/>
      <c r="J126" s="18"/>
      <c r="K126" s="18"/>
      <c r="L126" s="18"/>
      <c r="M126" s="18"/>
      <c r="N126" s="18"/>
    </row>
    <row r="127" spans="1:20" ht="16" x14ac:dyDescent="0.2">
      <c r="H127" s="54"/>
      <c r="I127" s="18"/>
      <c r="J127" s="18"/>
      <c r="K127" s="18"/>
      <c r="L127" s="18"/>
      <c r="M127" s="18"/>
      <c r="N127" s="18"/>
    </row>
    <row r="128" spans="1:20" ht="16" x14ac:dyDescent="0.2">
      <c r="H128" s="54"/>
      <c r="I128" s="18"/>
      <c r="J128" s="18"/>
      <c r="K128" s="18"/>
      <c r="L128" s="18"/>
      <c r="M128" s="18"/>
      <c r="N128" s="18"/>
    </row>
    <row r="129" spans="8:14" ht="16" x14ac:dyDescent="0.2">
      <c r="H129" s="54"/>
      <c r="I129" s="18"/>
      <c r="J129" s="18"/>
      <c r="K129" s="18"/>
      <c r="L129" s="18"/>
      <c r="M129" s="18"/>
      <c r="N129" s="18"/>
    </row>
    <row r="130" spans="8:14" ht="16" x14ac:dyDescent="0.2">
      <c r="H130" s="54"/>
      <c r="I130" s="18"/>
      <c r="J130" s="18"/>
      <c r="K130" s="18"/>
      <c r="L130" s="18"/>
      <c r="M130" s="18"/>
      <c r="N130" s="18"/>
    </row>
    <row r="131" spans="8:14" ht="16" x14ac:dyDescent="0.2">
      <c r="H131" s="54"/>
      <c r="I131" s="18"/>
      <c r="J131" s="18"/>
      <c r="K131" s="18"/>
      <c r="L131" s="18"/>
      <c r="M131" s="18"/>
      <c r="N131" s="18"/>
    </row>
    <row r="132" spans="8:14" ht="16" x14ac:dyDescent="0.2">
      <c r="H132" s="54"/>
      <c r="I132" s="18"/>
      <c r="J132" s="18"/>
      <c r="K132" s="18"/>
      <c r="L132" s="18"/>
      <c r="M132" s="18"/>
      <c r="N132" s="18"/>
    </row>
    <row r="133" spans="8:14" ht="16" x14ac:dyDescent="0.2">
      <c r="H133" s="54"/>
      <c r="I133" s="18"/>
      <c r="J133" s="18"/>
      <c r="K133" s="18"/>
      <c r="L133" s="18"/>
      <c r="M133" s="18"/>
      <c r="N133" s="18"/>
    </row>
    <row r="134" spans="8:14" ht="16" x14ac:dyDescent="0.2">
      <c r="H134" s="54"/>
      <c r="I134" s="18"/>
      <c r="J134" s="18"/>
      <c r="K134" s="18"/>
      <c r="L134" s="18"/>
      <c r="M134" s="18"/>
      <c r="N134" s="18"/>
    </row>
    <row r="135" spans="8:14" ht="16" x14ac:dyDescent="0.2">
      <c r="H135" s="54"/>
      <c r="I135" s="18"/>
      <c r="J135" s="18"/>
      <c r="K135" s="18"/>
      <c r="L135" s="18"/>
      <c r="M135" s="18"/>
      <c r="N135" s="18"/>
    </row>
    <row r="136" spans="8:14" ht="16" x14ac:dyDescent="0.2">
      <c r="H136" s="54"/>
      <c r="I136" s="18"/>
      <c r="J136" s="18"/>
      <c r="K136" s="18"/>
      <c r="L136" s="18"/>
      <c r="M136" s="18"/>
      <c r="N136" s="18"/>
    </row>
    <row r="137" spans="8:14" ht="16" x14ac:dyDescent="0.2">
      <c r="H137" s="54"/>
      <c r="I137" s="18"/>
      <c r="J137" s="18"/>
      <c r="K137" s="18"/>
      <c r="L137" s="18"/>
      <c r="M137" s="18"/>
      <c r="N137" s="18"/>
    </row>
    <row r="138" spans="8:14" ht="16" x14ac:dyDescent="0.2">
      <c r="H138" s="54"/>
      <c r="I138" s="18"/>
      <c r="J138" s="18"/>
      <c r="K138" s="18"/>
      <c r="L138" s="18"/>
      <c r="M138" s="18"/>
      <c r="N138" s="18"/>
    </row>
    <row r="139" spans="8:14" ht="16" x14ac:dyDescent="0.2">
      <c r="H139" s="54"/>
      <c r="I139" s="18"/>
      <c r="J139" s="18"/>
      <c r="K139" s="18"/>
      <c r="L139" s="18"/>
      <c r="M139" s="18"/>
      <c r="N139" s="18"/>
    </row>
    <row r="140" spans="8:14" ht="16" x14ac:dyDescent="0.2">
      <c r="H140" s="54"/>
      <c r="I140" s="18"/>
      <c r="J140" s="18"/>
      <c r="K140" s="18"/>
      <c r="L140" s="18"/>
      <c r="M140" s="18"/>
      <c r="N140" s="18"/>
    </row>
    <row r="141" spans="8:14" ht="16" x14ac:dyDescent="0.2">
      <c r="H141" s="54"/>
      <c r="I141" s="18"/>
      <c r="J141" s="18"/>
      <c r="K141" s="18"/>
      <c r="L141" s="18"/>
      <c r="M141" s="18"/>
      <c r="N141" s="18"/>
    </row>
    <row r="142" spans="8:14" ht="16" x14ac:dyDescent="0.2">
      <c r="H142" s="54"/>
      <c r="I142" s="18"/>
      <c r="J142" s="18"/>
      <c r="K142" s="18"/>
      <c r="L142" s="18"/>
      <c r="M142" s="18"/>
      <c r="N142" s="18"/>
    </row>
    <row r="143" spans="8:14" ht="16" x14ac:dyDescent="0.2">
      <c r="H143" s="54"/>
      <c r="I143" s="18"/>
      <c r="J143" s="18"/>
      <c r="K143" s="18"/>
      <c r="L143" s="18"/>
      <c r="M143" s="18"/>
      <c r="N143" s="18"/>
    </row>
    <row r="144" spans="8:14" ht="16" x14ac:dyDescent="0.2">
      <c r="H144" s="54"/>
      <c r="I144" s="18"/>
      <c r="J144" s="18"/>
      <c r="K144" s="18"/>
      <c r="L144" s="18"/>
      <c r="M144" s="18"/>
      <c r="N144" s="18"/>
    </row>
    <row r="145" spans="8:14" ht="16" x14ac:dyDescent="0.2">
      <c r="H145" s="54"/>
      <c r="I145" s="18"/>
      <c r="J145" s="18"/>
      <c r="K145" s="18"/>
      <c r="L145" s="18"/>
      <c r="M145" s="18"/>
      <c r="N145" s="18"/>
    </row>
    <row r="146" spans="8:14" ht="16" x14ac:dyDescent="0.2">
      <c r="H146" s="54"/>
      <c r="K146" s="18"/>
      <c r="L146" s="18"/>
      <c r="M146" s="18"/>
      <c r="N146" s="18"/>
    </row>
    <row r="147" spans="8:14" ht="16" x14ac:dyDescent="0.2">
      <c r="H147" s="54"/>
      <c r="K147" s="18"/>
      <c r="L147" s="18"/>
      <c r="M147" s="18"/>
      <c r="N147" s="18"/>
    </row>
    <row r="148" spans="8:14" ht="16" x14ac:dyDescent="0.2">
      <c r="H148" s="54"/>
      <c r="K148" s="18"/>
      <c r="L148" s="18"/>
      <c r="M148" s="18"/>
      <c r="N148" s="18"/>
    </row>
    <row r="149" spans="8:14" x14ac:dyDescent="0.15">
      <c r="H149" s="54"/>
    </row>
    <row r="150" spans="8:14" x14ac:dyDescent="0.15">
      <c r="H150" s="54"/>
    </row>
    <row r="151" spans="8:14" x14ac:dyDescent="0.15">
      <c r="H151" s="54"/>
    </row>
    <row r="152" spans="8:14" x14ac:dyDescent="0.15">
      <c r="H152" s="54"/>
    </row>
    <row r="153" spans="8:14" x14ac:dyDescent="0.15">
      <c r="H153" s="54"/>
    </row>
    <row r="154" spans="8:14" x14ac:dyDescent="0.15">
      <c r="H154" s="54"/>
    </row>
  </sheetData>
  <sheetProtection password="CC13" sheet="1" objects="1" scenarios="1" formatCells="0" formatColumns="0" formatRows="0" selectLockedCells="1" autoFilter="0"/>
  <autoFilter ref="B8:B60" xr:uid="{00000000-0009-0000-0000-000008000000}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G11:G59">
    <cfRule type="cellIs" dxfId="100" priority="11" operator="between">
      <formula>0</formula>
      <formula>1000000000</formula>
    </cfRule>
  </conditionalFormatting>
  <conditionalFormatting sqref="E11:E59">
    <cfRule type="expression" dxfId="99" priority="2">
      <formula>VALUE(C11)&gt;0</formula>
    </cfRule>
  </conditionalFormatting>
  <conditionalFormatting sqref="F11:F59">
    <cfRule type="expression" dxfId="98" priority="1">
      <formula>D11=""</formula>
    </cfRule>
  </conditionalFormatting>
  <dataValidations count="3">
    <dataValidation type="list" allowBlank="1" showInputMessage="1" showErrorMessage="1" error="please select" sqref="E11:E59" xr:uid="{00000000-0002-0000-0800-000000000000}">
      <formula1>Nachweis</formula1>
    </dataValidation>
    <dataValidation type="decimal" allowBlank="1" showInputMessage="1" showErrorMessage="1" sqref="F11:F59" xr:uid="{00000000-0002-0000-0800-000001000000}">
      <formula1>0</formula1>
      <formula2>100</formula2>
    </dataValidation>
    <dataValidation allowBlank="1" showInputMessage="1" showErrorMessage="1" errorTitle="Please select" sqref="E1" xr:uid="{00000000-0002-0000-0800-000002000000}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39</vt:i4>
      </vt:variant>
    </vt:vector>
  </HeadingPairs>
  <TitlesOfParts>
    <vt:vector size="55" baseType="lpstr">
      <vt:lpstr>Product</vt:lpstr>
      <vt:lpstr>Formulation Pre-Products</vt:lpstr>
      <vt:lpstr>Ingoing Substances</vt:lpstr>
      <vt:lpstr>Ingoing substances_DID</vt:lpstr>
      <vt:lpstr>Results-1a-medium soiling</vt:lpstr>
      <vt:lpstr>Results-1b-light soiling (LD)</vt:lpstr>
      <vt:lpstr>Results-1c-heavy soiling (LD)</vt:lpstr>
      <vt:lpstr>Results-1 multicomponent system</vt:lpstr>
      <vt:lpstr>Results-2</vt:lpstr>
      <vt:lpstr>Packaging sizes 1-4</vt:lpstr>
      <vt:lpstr>Packaging sizes 5-8</vt:lpstr>
      <vt:lpstr>DID List</vt:lpstr>
      <vt:lpstr>Document</vt:lpstr>
      <vt:lpstr>Historie</vt:lpstr>
      <vt:lpstr>Languages</vt:lpstr>
      <vt:lpstr>Auswahldaten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Mehrkomponenten</vt:lpstr>
      <vt:lpstr>Nachweis</vt:lpstr>
      <vt:lpstr>'Formulation Pre-Products'!Print_Area</vt:lpstr>
      <vt:lpstr>Historie!Print_Area</vt:lpstr>
      <vt:lpstr>'Ingoing Substances'!Print_Area</vt:lpstr>
      <vt:lpstr>'Ingoing substances_DID'!Print_Area</vt:lpstr>
      <vt:lpstr>'Packaging sizes 1-4'!Print_Area</vt:lpstr>
      <vt:lpstr>'Packaging sizes 5-8'!Print_Area</vt:lpstr>
      <vt:lpstr>Product!Print_Area</vt:lpstr>
      <vt:lpstr>'Results-1 multicomponent system'!Print_Area</vt:lpstr>
      <vt:lpstr>'Results-1a-medium soiling'!Print_Area</vt:lpstr>
      <vt:lpstr>'Results-1b-light soiling (LD)'!Print_Area</vt:lpstr>
      <vt:lpstr>'Results-1c-heavy soiling (LD)'!Print_Area</vt:lpstr>
      <vt:lpstr>'Results-2'!Print_Area</vt:lpstr>
      <vt:lpstr>Privat</vt:lpstr>
      <vt:lpstr>Produkt</vt:lpstr>
      <vt:lpstr>Produktart</vt:lpstr>
      <vt:lpstr>Produktform</vt:lpstr>
      <vt:lpstr>Pulver</vt:lpstr>
      <vt:lpstr>Sprache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Microsoft Office User</cp:lastModifiedBy>
  <cp:lastPrinted>2017-06-28T11:41:20Z</cp:lastPrinted>
  <dcterms:created xsi:type="dcterms:W3CDTF">2006-01-20T09:27:52Z</dcterms:created>
  <dcterms:modified xsi:type="dcterms:W3CDTF">2022-01-21T12:37:33Z</dcterms:modified>
</cp:coreProperties>
</file>